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alomet\Desktop\SPREP PCU\Projects\VANKirap\Second Extension Documents\"/>
    </mc:Choice>
  </mc:AlternateContent>
  <xr:revisionPtr revIDLastSave="0" documentId="13_ncr:1_{43FE9486-CC4C-4C27-A781-8E44BEF8A2AE}" xr6:coauthVersionLast="47" xr6:coauthVersionMax="47" xr10:uidLastSave="{00000000-0000-0000-0000-000000000000}"/>
  <bookViews>
    <workbookView xWindow="-110" yWindow="-110" windowWidth="19420" windowHeight="11500" activeTab="4" xr2:uid="{F4C5BCD4-5FEB-4838-82F3-5DA3591696A3}"/>
  </bookViews>
  <sheets>
    <sheet name="Five Year Budget" sheetId="1" state="hidden" r:id="rId1"/>
    <sheet name="2022-2023 Budget" sheetId="2" r:id="rId2"/>
    <sheet name="Component comparison" sheetId="3" state="hidden" r:id="rId3"/>
    <sheet name="Budget Notes" sheetId="4" r:id="rId4"/>
    <sheet name="Reallocation" sheetId="5" r:id="rId5"/>
  </sheets>
  <externalReferences>
    <externalReference r:id="rId6"/>
  </externalReferences>
  <definedNames>
    <definedName name="_xlnm._FilterDatabase" localSheetId="1" hidden="1">'2022-2023 Budget'!$C$4:$AB$444</definedName>
    <definedName name="_xlnm._FilterDatabase" localSheetId="0" hidden="1">'Five Year Budget'!$C$4:$AF$445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48" i="2" l="1"/>
  <c r="V363" i="2"/>
  <c r="W363" i="2"/>
  <c r="V358" i="2"/>
  <c r="W348" i="2"/>
  <c r="V376" i="2"/>
  <c r="V110" i="2"/>
  <c r="V105" i="2"/>
  <c r="V94" i="2"/>
  <c r="V83" i="2"/>
  <c r="V68" i="2"/>
  <c r="V60" i="2"/>
  <c r="V52" i="2"/>
  <c r="W52" i="2"/>
  <c r="V38" i="2"/>
  <c r="V33" i="2"/>
  <c r="V13" i="2"/>
  <c r="W358" i="2"/>
  <c r="X363" i="2"/>
  <c r="Y363" i="2"/>
  <c r="W376" i="2"/>
  <c r="X376" i="2"/>
  <c r="Y376" i="2"/>
  <c r="Z376" i="2"/>
  <c r="Y378" i="2"/>
  <c r="K363" i="2"/>
  <c r="L363" i="2"/>
  <c r="M363" i="2"/>
  <c r="N363" i="2"/>
  <c r="O363" i="2"/>
  <c r="P363" i="2"/>
  <c r="Q363" i="2"/>
  <c r="R363" i="2"/>
  <c r="S363" i="2"/>
  <c r="T363" i="2"/>
  <c r="U363" i="2"/>
  <c r="G7" i="5"/>
  <c r="G4" i="5"/>
  <c r="W325" i="2"/>
  <c r="W323" i="2"/>
  <c r="W322" i="2"/>
  <c r="W332" i="2"/>
  <c r="V378" i="2" l="1"/>
  <c r="X378" i="2"/>
  <c r="W378" i="2"/>
  <c r="G5" i="5" l="1"/>
  <c r="W420" i="2" l="1"/>
  <c r="W421" i="2"/>
  <c r="V160" i="2"/>
  <c r="W160" i="2"/>
  <c r="V154" i="2"/>
  <c r="W154" i="2"/>
  <c r="V136" i="2"/>
  <c r="W136" i="2"/>
  <c r="V129" i="2"/>
  <c r="W129" i="2"/>
  <c r="X129" i="2"/>
  <c r="V123" i="2"/>
  <c r="W123" i="2"/>
  <c r="V117" i="2"/>
  <c r="W117" i="2"/>
  <c r="W105" i="2"/>
  <c r="W94" i="2"/>
  <c r="W83" i="2"/>
  <c r="W60" i="2"/>
  <c r="X60" i="2"/>
  <c r="W33" i="2"/>
  <c r="V319" i="2"/>
  <c r="W319" i="2"/>
  <c r="X319" i="2"/>
  <c r="V311" i="2"/>
  <c r="V292" i="2"/>
  <c r="W292" i="2"/>
  <c r="V287" i="2"/>
  <c r="V275" i="2"/>
  <c r="W275" i="2"/>
  <c r="V261" i="2"/>
  <c r="W261" i="2"/>
  <c r="V246" i="2"/>
  <c r="W246" i="2"/>
  <c r="V236" i="2"/>
  <c r="W236" i="2"/>
  <c r="X236" i="2"/>
  <c r="V213" i="2"/>
  <c r="V205" i="2"/>
  <c r="W205" i="2"/>
  <c r="V194" i="2"/>
  <c r="W194" i="2"/>
  <c r="X194" i="2"/>
  <c r="V177" i="2"/>
  <c r="W177" i="2"/>
  <c r="V172" i="2"/>
  <c r="W172" i="2"/>
  <c r="V165" i="2"/>
  <c r="W165" i="2"/>
  <c r="X160" i="2"/>
  <c r="V147" i="2"/>
  <c r="W147" i="2"/>
  <c r="V141" i="2"/>
  <c r="W141" i="2"/>
  <c r="V389" i="2"/>
  <c r="V402" i="2"/>
  <c r="V410" i="2"/>
  <c r="V415" i="2"/>
  <c r="V441" i="2"/>
  <c r="V431" i="2"/>
  <c r="W433" i="2"/>
  <c r="W432" i="2"/>
  <c r="W96" i="2"/>
  <c r="I17" i="5"/>
  <c r="I16" i="5"/>
  <c r="I15" i="5"/>
  <c r="I14" i="5"/>
  <c r="I13" i="5"/>
  <c r="H13" i="5"/>
  <c r="H14" i="5"/>
  <c r="H15" i="5"/>
  <c r="H16" i="5"/>
  <c r="H17" i="5"/>
  <c r="F17" i="5"/>
  <c r="F18" i="5" s="1"/>
  <c r="G16" i="5"/>
  <c r="G15" i="5"/>
  <c r="G14" i="5"/>
  <c r="G13" i="5"/>
  <c r="V321" i="2" l="1"/>
  <c r="V417" i="2"/>
  <c r="G6" i="5" s="1"/>
  <c r="V215" i="2"/>
  <c r="V443" i="2"/>
  <c r="G18" i="5"/>
  <c r="H18" i="5"/>
  <c r="I18" i="5"/>
  <c r="V444" i="2" l="1"/>
  <c r="T415" i="2"/>
  <c r="W415" i="2"/>
  <c r="X415" i="2"/>
  <c r="Y415" i="2"/>
  <c r="W410" i="2"/>
  <c r="X410" i="2"/>
  <c r="X431" i="2"/>
  <c r="Y431" i="2"/>
  <c r="W441" i="2"/>
  <c r="X441" i="2"/>
  <c r="Y441" i="2"/>
  <c r="U442" i="2"/>
  <c r="Y160" i="2"/>
  <c r="X154" i="2"/>
  <c r="Y154" i="2"/>
  <c r="X205" i="2"/>
  <c r="Y205" i="2"/>
  <c r="X213" i="2"/>
  <c r="Y213" i="2"/>
  <c r="X33" i="2"/>
  <c r="Y33" i="2"/>
  <c r="Y365" i="2"/>
  <c r="Y369" i="2"/>
  <c r="R419" i="2"/>
  <c r="Y381" i="2"/>
  <c r="X177" i="2"/>
  <c r="Y409" i="2" l="1"/>
  <c r="Y410" i="2" s="1"/>
  <c r="Y109" i="2"/>
  <c r="X117" i="2" l="1"/>
  <c r="Y117" i="2"/>
  <c r="X39" i="2"/>
  <c r="X13" i="2"/>
  <c r="Y13" i="2"/>
  <c r="W287" i="2"/>
  <c r="Y319" i="2"/>
  <c r="U440" i="2"/>
  <c r="Z440" i="2" s="1"/>
  <c r="U439" i="2"/>
  <c r="Z439" i="2" s="1"/>
  <c r="U438" i="2"/>
  <c r="Z438" i="2" s="1"/>
  <c r="U437" i="2"/>
  <c r="Z437" i="2" s="1"/>
  <c r="U436" i="2"/>
  <c r="Z436" i="2" s="1"/>
  <c r="U435" i="2"/>
  <c r="Z435" i="2" s="1"/>
  <c r="U434" i="2"/>
  <c r="Z434" i="2" s="1"/>
  <c r="U433" i="2"/>
  <c r="Z433" i="2" s="1"/>
  <c r="U432" i="2"/>
  <c r="Z432" i="2" s="1"/>
  <c r="U430" i="2"/>
  <c r="Z430" i="2" s="1"/>
  <c r="U429" i="2"/>
  <c r="Z429" i="2" s="1"/>
  <c r="U428" i="2"/>
  <c r="Z428" i="2" s="1"/>
  <c r="U427" i="2"/>
  <c r="Z427" i="2" s="1"/>
  <c r="U426" i="2"/>
  <c r="Z426" i="2" s="1"/>
  <c r="U425" i="2"/>
  <c r="Z425" i="2" s="1"/>
  <c r="U424" i="2"/>
  <c r="Z424" i="2" s="1"/>
  <c r="U423" i="2"/>
  <c r="Z423" i="2" s="1"/>
  <c r="U422" i="2"/>
  <c r="Z422" i="2" s="1"/>
  <c r="U421" i="2"/>
  <c r="W431" i="2" s="1"/>
  <c r="U420" i="2"/>
  <c r="Z420" i="2" s="1"/>
  <c r="U419" i="2"/>
  <c r="Z419" i="2" s="1"/>
  <c r="U418" i="2"/>
  <c r="Z418" i="2" s="1"/>
  <c r="U416" i="2"/>
  <c r="U414" i="2"/>
  <c r="Z414" i="2" s="1"/>
  <c r="U413" i="2"/>
  <c r="Z413" i="2" s="1"/>
  <c r="U412" i="2"/>
  <c r="Z412" i="2" s="1"/>
  <c r="U411" i="2"/>
  <c r="U409" i="2"/>
  <c r="Z409" i="2" s="1"/>
  <c r="U408" i="2"/>
  <c r="Z408" i="2" s="1"/>
  <c r="U407" i="2"/>
  <c r="Z407" i="2" s="1"/>
  <c r="U406" i="2"/>
  <c r="Z406" i="2" s="1"/>
  <c r="U405" i="2"/>
  <c r="Z405" i="2" s="1"/>
  <c r="U404" i="2"/>
  <c r="Z404" i="2" s="1"/>
  <c r="U403" i="2"/>
  <c r="Z403" i="2" s="1"/>
  <c r="U401" i="2"/>
  <c r="Z401" i="2" s="1"/>
  <c r="U400" i="2"/>
  <c r="Z400" i="2" s="1"/>
  <c r="U399" i="2"/>
  <c r="Z399" i="2" s="1"/>
  <c r="U398" i="2"/>
  <c r="Z398" i="2" s="1"/>
  <c r="U397" i="2"/>
  <c r="Z397" i="2" s="1"/>
  <c r="U396" i="2"/>
  <c r="Z396" i="2" s="1"/>
  <c r="U395" i="2"/>
  <c r="Z395" i="2" s="1"/>
  <c r="U394" i="2"/>
  <c r="Z394" i="2" s="1"/>
  <c r="U393" i="2"/>
  <c r="Z393" i="2" s="1"/>
  <c r="U392" i="2"/>
  <c r="Z392" i="2" s="1"/>
  <c r="U391" i="2"/>
  <c r="Z391" i="2" s="1"/>
  <c r="U390" i="2"/>
  <c r="Z390" i="2" s="1"/>
  <c r="U388" i="2"/>
  <c r="U387" i="2"/>
  <c r="Z387" i="2" s="1"/>
  <c r="U386" i="2"/>
  <c r="Z386" i="2" s="1"/>
  <c r="U385" i="2"/>
  <c r="Z385" i="2" s="1"/>
  <c r="U384" i="2"/>
  <c r="Z384" i="2" s="1"/>
  <c r="U383" i="2"/>
  <c r="Z383" i="2" s="1"/>
  <c r="U382" i="2"/>
  <c r="Z382" i="2" s="1"/>
  <c r="U381" i="2"/>
  <c r="Z381" i="2" s="1"/>
  <c r="U380" i="2"/>
  <c r="Z380" i="2" s="1"/>
  <c r="U379" i="2"/>
  <c r="Z379" i="2" s="1"/>
  <c r="U377" i="2"/>
  <c r="U375" i="2"/>
  <c r="Z375" i="2" s="1"/>
  <c r="U374" i="2"/>
  <c r="Z374" i="2" s="1"/>
  <c r="U373" i="2"/>
  <c r="Z373" i="2" s="1"/>
  <c r="U372" i="2"/>
  <c r="Z372" i="2" s="1"/>
  <c r="U371" i="2"/>
  <c r="Z371" i="2" s="1"/>
  <c r="U370" i="2"/>
  <c r="Z370" i="2" s="1"/>
  <c r="U369" i="2"/>
  <c r="Z369" i="2" s="1"/>
  <c r="U368" i="2"/>
  <c r="Z368" i="2" s="1"/>
  <c r="U367" i="2"/>
  <c r="Z367" i="2" s="1"/>
  <c r="U366" i="2"/>
  <c r="Z366" i="2" s="1"/>
  <c r="U365" i="2"/>
  <c r="Z365" i="2" s="1"/>
  <c r="U364" i="2"/>
  <c r="Z364" i="2" s="1"/>
  <c r="U362" i="2"/>
  <c r="Z362" i="2" s="1"/>
  <c r="U361" i="2"/>
  <c r="Z361" i="2" s="1"/>
  <c r="U360" i="2"/>
  <c r="Z360" i="2" s="1"/>
  <c r="U359" i="2"/>
  <c r="Z359" i="2" s="1"/>
  <c r="U357" i="2"/>
  <c r="Z357" i="2" s="1"/>
  <c r="U356" i="2"/>
  <c r="Z356" i="2" s="1"/>
  <c r="U355" i="2"/>
  <c r="Z355" i="2" s="1"/>
  <c r="U354" i="2"/>
  <c r="Z354" i="2" s="1"/>
  <c r="U353" i="2"/>
  <c r="Z353" i="2" s="1"/>
  <c r="U352" i="2"/>
  <c r="Z352" i="2" s="1"/>
  <c r="U351" i="2"/>
  <c r="Z351" i="2" s="1"/>
  <c r="U350" i="2"/>
  <c r="Z350" i="2" s="1"/>
  <c r="U349" i="2"/>
  <c r="Z349" i="2" s="1"/>
  <c r="U347" i="2"/>
  <c r="Z347" i="2" s="1"/>
  <c r="U346" i="2"/>
  <c r="Z346" i="2" s="1"/>
  <c r="U345" i="2"/>
  <c r="Z345" i="2" s="1"/>
  <c r="U344" i="2"/>
  <c r="Z344" i="2" s="1"/>
  <c r="U343" i="2"/>
  <c r="Z343" i="2" s="1"/>
  <c r="U342" i="2"/>
  <c r="Z342" i="2" s="1"/>
  <c r="U341" i="2"/>
  <c r="Z341" i="2" s="1"/>
  <c r="U340" i="2"/>
  <c r="Z340" i="2" s="1"/>
  <c r="U339" i="2"/>
  <c r="Z339" i="2" s="1"/>
  <c r="U338" i="2"/>
  <c r="Z338" i="2" s="1"/>
  <c r="U337" i="2"/>
  <c r="Z337" i="2" s="1"/>
  <c r="U336" i="2"/>
  <c r="Z336" i="2" s="1"/>
  <c r="U335" i="2"/>
  <c r="Z335" i="2" s="1"/>
  <c r="U334" i="2"/>
  <c r="Z334" i="2" s="1"/>
  <c r="U333" i="2"/>
  <c r="Z333" i="2" s="1"/>
  <c r="U332" i="2"/>
  <c r="Z332" i="2" s="1"/>
  <c r="U331" i="2"/>
  <c r="Z331" i="2" s="1"/>
  <c r="U330" i="2"/>
  <c r="Z330" i="2" s="1"/>
  <c r="U329" i="2"/>
  <c r="Z329" i="2" s="1"/>
  <c r="U328" i="2"/>
  <c r="Z328" i="2" s="1"/>
  <c r="U327" i="2"/>
  <c r="Z327" i="2" s="1"/>
  <c r="U326" i="2"/>
  <c r="Z326" i="2" s="1"/>
  <c r="U325" i="2"/>
  <c r="Z325" i="2" s="1"/>
  <c r="U324" i="2"/>
  <c r="Z324" i="2" s="1"/>
  <c r="U323" i="2"/>
  <c r="Z323" i="2" s="1"/>
  <c r="U322" i="2"/>
  <c r="Z322" i="2" s="1"/>
  <c r="U320" i="2"/>
  <c r="U318" i="2"/>
  <c r="Z318" i="2" s="1"/>
  <c r="U317" i="2"/>
  <c r="Z317" i="2" s="1"/>
  <c r="U316" i="2"/>
  <c r="Z316" i="2" s="1"/>
  <c r="U315" i="2"/>
  <c r="Z315" i="2" s="1"/>
  <c r="U314" i="2"/>
  <c r="Z314" i="2" s="1"/>
  <c r="U313" i="2"/>
  <c r="Z313" i="2" s="1"/>
  <c r="Z319" i="2" s="1"/>
  <c r="U312" i="2"/>
  <c r="Z312" i="2" s="1"/>
  <c r="U310" i="2"/>
  <c r="Z310" i="2" s="1"/>
  <c r="U309" i="2"/>
  <c r="Z309" i="2" s="1"/>
  <c r="U308" i="2"/>
  <c r="Z308" i="2" s="1"/>
  <c r="U307" i="2"/>
  <c r="Z307" i="2" s="1"/>
  <c r="U306" i="2"/>
  <c r="Z306" i="2" s="1"/>
  <c r="U305" i="2"/>
  <c r="Z305" i="2" s="1"/>
  <c r="U304" i="2"/>
  <c r="Z304" i="2" s="1"/>
  <c r="U303" i="2"/>
  <c r="Z303" i="2" s="1"/>
  <c r="U302" i="2"/>
  <c r="Z302" i="2" s="1"/>
  <c r="U301" i="2"/>
  <c r="Z301" i="2" s="1"/>
  <c r="U300" i="2"/>
  <c r="U299" i="2"/>
  <c r="Z299" i="2" s="1"/>
  <c r="U298" i="2"/>
  <c r="Z298" i="2" s="1"/>
  <c r="U297" i="2"/>
  <c r="Z297" i="2" s="1"/>
  <c r="U296" i="2"/>
  <c r="Z296" i="2" s="1"/>
  <c r="U295" i="2"/>
  <c r="Z295" i="2" s="1"/>
  <c r="U294" i="2"/>
  <c r="Z294" i="2" s="1"/>
  <c r="U293" i="2"/>
  <c r="Z293" i="2" s="1"/>
  <c r="U291" i="2"/>
  <c r="Z291" i="2" s="1"/>
  <c r="U290" i="2"/>
  <c r="Z290" i="2" s="1"/>
  <c r="U289" i="2"/>
  <c r="Z289" i="2" s="1"/>
  <c r="U288" i="2"/>
  <c r="Z288" i="2" s="1"/>
  <c r="U286" i="2"/>
  <c r="Z286" i="2" s="1"/>
  <c r="U285" i="2"/>
  <c r="Z285" i="2" s="1"/>
  <c r="U284" i="2"/>
  <c r="Z284" i="2" s="1"/>
  <c r="U283" i="2"/>
  <c r="Z283" i="2" s="1"/>
  <c r="U282" i="2"/>
  <c r="Z282" i="2" s="1"/>
  <c r="U281" i="2"/>
  <c r="Z281" i="2" s="1"/>
  <c r="U280" i="2"/>
  <c r="Z280" i="2" s="1"/>
  <c r="U279" i="2"/>
  <c r="Z279" i="2" s="1"/>
  <c r="U278" i="2"/>
  <c r="U277" i="2"/>
  <c r="Z277" i="2" s="1"/>
  <c r="U276" i="2"/>
  <c r="Z276" i="2" s="1"/>
  <c r="U274" i="2"/>
  <c r="Z274" i="2" s="1"/>
  <c r="U273" i="2"/>
  <c r="Z273" i="2" s="1"/>
  <c r="U272" i="2"/>
  <c r="Z272" i="2" s="1"/>
  <c r="U271" i="2"/>
  <c r="Z271" i="2" s="1"/>
  <c r="U270" i="2"/>
  <c r="Z270" i="2" s="1"/>
  <c r="U269" i="2"/>
  <c r="Z269" i="2" s="1"/>
  <c r="U268" i="2"/>
  <c r="Z268" i="2" s="1"/>
  <c r="U267" i="2"/>
  <c r="Z267" i="2" s="1"/>
  <c r="U266" i="2"/>
  <c r="Z266" i="2" s="1"/>
  <c r="U265" i="2"/>
  <c r="Z265" i="2" s="1"/>
  <c r="U264" i="2"/>
  <c r="Z264" i="2" s="1"/>
  <c r="U263" i="2"/>
  <c r="Z263" i="2" s="1"/>
  <c r="U262" i="2"/>
  <c r="Z262" i="2" s="1"/>
  <c r="U260" i="2"/>
  <c r="Z260" i="2" s="1"/>
  <c r="U259" i="2"/>
  <c r="Z259" i="2" s="1"/>
  <c r="U258" i="2"/>
  <c r="Z258" i="2" s="1"/>
  <c r="U257" i="2"/>
  <c r="Z257" i="2" s="1"/>
  <c r="U256" i="2"/>
  <c r="Z256" i="2" s="1"/>
  <c r="U255" i="2"/>
  <c r="Z255" i="2" s="1"/>
  <c r="U254" i="2"/>
  <c r="Z254" i="2" s="1"/>
  <c r="U253" i="2"/>
  <c r="Z253" i="2" s="1"/>
  <c r="U252" i="2"/>
  <c r="Z252" i="2" s="1"/>
  <c r="U251" i="2"/>
  <c r="Z251" i="2" s="1"/>
  <c r="U250" i="2"/>
  <c r="Z250" i="2" s="1"/>
  <c r="U249" i="2"/>
  <c r="Z249" i="2" s="1"/>
  <c r="U248" i="2"/>
  <c r="Z248" i="2" s="1"/>
  <c r="U247" i="2"/>
  <c r="Z247" i="2" s="1"/>
  <c r="U245" i="2"/>
  <c r="Z245" i="2" s="1"/>
  <c r="U244" i="2"/>
  <c r="Z244" i="2" s="1"/>
  <c r="U243" i="2"/>
  <c r="Z243" i="2" s="1"/>
  <c r="U242" i="2"/>
  <c r="Z242" i="2" s="1"/>
  <c r="U241" i="2"/>
  <c r="Z241" i="2" s="1"/>
  <c r="U240" i="2"/>
  <c r="Z240" i="2" s="1"/>
  <c r="U239" i="2"/>
  <c r="Z239" i="2" s="1"/>
  <c r="U238" i="2"/>
  <c r="Z238" i="2" s="1"/>
  <c r="U237" i="2"/>
  <c r="Z237" i="2" s="1"/>
  <c r="U235" i="2"/>
  <c r="Z235" i="2" s="1"/>
  <c r="U234" i="2"/>
  <c r="Z234" i="2" s="1"/>
  <c r="U233" i="2"/>
  <c r="Z233" i="2" s="1"/>
  <c r="U232" i="2"/>
  <c r="Z232" i="2" s="1"/>
  <c r="U231" i="2"/>
  <c r="Z231" i="2" s="1"/>
  <c r="U230" i="2"/>
  <c r="Z230" i="2" s="1"/>
  <c r="U229" i="2"/>
  <c r="Z229" i="2" s="1"/>
  <c r="U228" i="2"/>
  <c r="Z228" i="2" s="1"/>
  <c r="U227" i="2"/>
  <c r="Z227" i="2" s="1"/>
  <c r="U226" i="2"/>
  <c r="Z226" i="2" s="1"/>
  <c r="U225" i="2"/>
  <c r="Z225" i="2" s="1"/>
  <c r="U224" i="2"/>
  <c r="Z224" i="2" s="1"/>
  <c r="U223" i="2"/>
  <c r="Z223" i="2" s="1"/>
  <c r="U222" i="2"/>
  <c r="Z222" i="2" s="1"/>
  <c r="U221" i="2"/>
  <c r="Z221" i="2" s="1"/>
  <c r="U220" i="2"/>
  <c r="Z220" i="2" s="1"/>
  <c r="U219" i="2"/>
  <c r="Z219" i="2" s="1"/>
  <c r="U218" i="2"/>
  <c r="Z218" i="2" s="1"/>
  <c r="U217" i="2"/>
  <c r="Z217" i="2" s="1"/>
  <c r="U216" i="2"/>
  <c r="Z216" i="2" s="1"/>
  <c r="U214" i="2"/>
  <c r="U212" i="2"/>
  <c r="Z212" i="2" s="1"/>
  <c r="U211" i="2"/>
  <c r="Z211" i="2" s="1"/>
  <c r="U210" i="2"/>
  <c r="Z210" i="2" s="1"/>
  <c r="U209" i="2"/>
  <c r="Z209" i="2" s="1"/>
  <c r="U208" i="2"/>
  <c r="Z208" i="2" s="1"/>
  <c r="U207" i="2"/>
  <c r="Z207" i="2" s="1"/>
  <c r="U206" i="2"/>
  <c r="Z206" i="2" s="1"/>
  <c r="U204" i="2"/>
  <c r="Z204" i="2" s="1"/>
  <c r="U203" i="2"/>
  <c r="Z203" i="2" s="1"/>
  <c r="U202" i="2"/>
  <c r="Z202" i="2" s="1"/>
  <c r="U201" i="2"/>
  <c r="Z201" i="2" s="1"/>
  <c r="U200" i="2"/>
  <c r="Z200" i="2" s="1"/>
  <c r="U199" i="2"/>
  <c r="Z199" i="2" s="1"/>
  <c r="U198" i="2"/>
  <c r="Z198" i="2" s="1"/>
  <c r="U197" i="2"/>
  <c r="Z197" i="2" s="1"/>
  <c r="U196" i="2"/>
  <c r="Z196" i="2" s="1"/>
  <c r="U195" i="2"/>
  <c r="Z195" i="2" s="1"/>
  <c r="U193" i="2"/>
  <c r="Z193" i="2" s="1"/>
  <c r="U192" i="2"/>
  <c r="Z192" i="2" s="1"/>
  <c r="U191" i="2"/>
  <c r="Z191" i="2" s="1"/>
  <c r="U190" i="2"/>
  <c r="Z190" i="2" s="1"/>
  <c r="U189" i="2"/>
  <c r="Z189" i="2" s="1"/>
  <c r="U188" i="2"/>
  <c r="Z188" i="2" s="1"/>
  <c r="U187" i="2"/>
  <c r="Z187" i="2" s="1"/>
  <c r="U186" i="2"/>
  <c r="Z186" i="2" s="1"/>
  <c r="U185" i="2"/>
  <c r="Z185" i="2" s="1"/>
  <c r="U184" i="2"/>
  <c r="Z184" i="2" s="1"/>
  <c r="U183" i="2"/>
  <c r="Z183" i="2" s="1"/>
  <c r="U182" i="2"/>
  <c r="Z182" i="2" s="1"/>
  <c r="U181" i="2"/>
  <c r="Z181" i="2" s="1"/>
  <c r="U180" i="2"/>
  <c r="Z180" i="2" s="1"/>
  <c r="U179" i="2"/>
  <c r="Z179" i="2" s="1"/>
  <c r="U178" i="2"/>
  <c r="Z178" i="2" s="1"/>
  <c r="U176" i="2"/>
  <c r="Z176" i="2" s="1"/>
  <c r="U175" i="2"/>
  <c r="Z175" i="2" s="1"/>
  <c r="U174" i="2"/>
  <c r="Z174" i="2" s="1"/>
  <c r="U173" i="2"/>
  <c r="Z173" i="2" s="1"/>
  <c r="Z177" i="2" s="1"/>
  <c r="U171" i="2"/>
  <c r="Z171" i="2" s="1"/>
  <c r="U170" i="2"/>
  <c r="Z170" i="2" s="1"/>
  <c r="U169" i="2"/>
  <c r="Z169" i="2" s="1"/>
  <c r="U168" i="2"/>
  <c r="Z168" i="2" s="1"/>
  <c r="U167" i="2"/>
  <c r="Z167" i="2" s="1"/>
  <c r="U166" i="2"/>
  <c r="Z166" i="2" s="1"/>
  <c r="U164" i="2"/>
  <c r="Z164" i="2" s="1"/>
  <c r="U163" i="2"/>
  <c r="Z163" i="2" s="1"/>
  <c r="U162" i="2"/>
  <c r="Z162" i="2" s="1"/>
  <c r="U161" i="2"/>
  <c r="Z161" i="2" s="1"/>
  <c r="Z165" i="2" s="1"/>
  <c r="U159" i="2"/>
  <c r="Z159" i="2" s="1"/>
  <c r="U158" i="2"/>
  <c r="Z158" i="2" s="1"/>
  <c r="U157" i="2"/>
  <c r="Z157" i="2" s="1"/>
  <c r="U156" i="2"/>
  <c r="Z156" i="2" s="1"/>
  <c r="U155" i="2"/>
  <c r="Z155" i="2" s="1"/>
  <c r="U153" i="2"/>
  <c r="Z153" i="2" s="1"/>
  <c r="U152" i="2"/>
  <c r="Z152" i="2" s="1"/>
  <c r="U151" i="2"/>
  <c r="Z151" i="2" s="1"/>
  <c r="U150" i="2"/>
  <c r="Z150" i="2" s="1"/>
  <c r="U149" i="2"/>
  <c r="Z149" i="2" s="1"/>
  <c r="U148" i="2"/>
  <c r="Z148" i="2" s="1"/>
  <c r="U146" i="2"/>
  <c r="Z146" i="2" s="1"/>
  <c r="U145" i="2"/>
  <c r="Z145" i="2" s="1"/>
  <c r="U144" i="2"/>
  <c r="Z144" i="2" s="1"/>
  <c r="U143" i="2"/>
  <c r="Z143" i="2" s="1"/>
  <c r="U142" i="2"/>
  <c r="Z142" i="2" s="1"/>
  <c r="Z147" i="2" s="1"/>
  <c r="U140" i="2"/>
  <c r="Z140" i="2" s="1"/>
  <c r="U139" i="2"/>
  <c r="Z139" i="2" s="1"/>
  <c r="U138" i="2"/>
  <c r="Z138" i="2" s="1"/>
  <c r="U137" i="2"/>
  <c r="U135" i="2"/>
  <c r="Z135" i="2" s="1"/>
  <c r="U134" i="2"/>
  <c r="Z134" i="2" s="1"/>
  <c r="U133" i="2"/>
  <c r="Z133" i="2" s="1"/>
  <c r="U132" i="2"/>
  <c r="Z132" i="2" s="1"/>
  <c r="U131" i="2"/>
  <c r="Z131" i="2" s="1"/>
  <c r="U130" i="2"/>
  <c r="Z130" i="2" s="1"/>
  <c r="U128" i="2"/>
  <c r="Z128" i="2" s="1"/>
  <c r="U127" i="2"/>
  <c r="Z127" i="2" s="1"/>
  <c r="U126" i="2"/>
  <c r="Z126" i="2" s="1"/>
  <c r="U125" i="2"/>
  <c r="Z125" i="2" s="1"/>
  <c r="U124" i="2"/>
  <c r="Z124" i="2" s="1"/>
  <c r="U122" i="2"/>
  <c r="Z122" i="2" s="1"/>
  <c r="U121" i="2"/>
  <c r="Z121" i="2" s="1"/>
  <c r="U120" i="2"/>
  <c r="Z120" i="2" s="1"/>
  <c r="U119" i="2"/>
  <c r="Z119" i="2" s="1"/>
  <c r="U118" i="2"/>
  <c r="Z118" i="2" s="1"/>
  <c r="U116" i="2"/>
  <c r="Z116" i="2" s="1"/>
  <c r="U115" i="2"/>
  <c r="Z115" i="2" s="1"/>
  <c r="U114" i="2"/>
  <c r="Z114" i="2" s="1"/>
  <c r="U113" i="2"/>
  <c r="Z113" i="2" s="1"/>
  <c r="U112" i="2"/>
  <c r="Z112" i="2" s="1"/>
  <c r="U111" i="2"/>
  <c r="Z111" i="2" s="1"/>
  <c r="U109" i="2"/>
  <c r="Z109" i="2" s="1"/>
  <c r="U108" i="2"/>
  <c r="Z108" i="2" s="1"/>
  <c r="U107" i="2"/>
  <c r="Z107" i="2" s="1"/>
  <c r="U106" i="2"/>
  <c r="Z106" i="2" s="1"/>
  <c r="Z110" i="2" s="1"/>
  <c r="U104" i="2"/>
  <c r="Z104" i="2" s="1"/>
  <c r="U103" i="2"/>
  <c r="Z103" i="2" s="1"/>
  <c r="U102" i="2"/>
  <c r="Z102" i="2" s="1"/>
  <c r="U101" i="2"/>
  <c r="Z101" i="2" s="1"/>
  <c r="U100" i="2"/>
  <c r="Z100" i="2" s="1"/>
  <c r="U99" i="2"/>
  <c r="Z99" i="2" s="1"/>
  <c r="U98" i="2"/>
  <c r="Z98" i="2" s="1"/>
  <c r="U97" i="2"/>
  <c r="Z97" i="2" s="1"/>
  <c r="U96" i="2"/>
  <c r="Z96" i="2" s="1"/>
  <c r="U95" i="2"/>
  <c r="Z95" i="2" s="1"/>
  <c r="U93" i="2"/>
  <c r="Z93" i="2" s="1"/>
  <c r="U92" i="2"/>
  <c r="Z92" i="2" s="1"/>
  <c r="U91" i="2"/>
  <c r="Z91" i="2" s="1"/>
  <c r="U90" i="2"/>
  <c r="Z90" i="2" s="1"/>
  <c r="U89" i="2"/>
  <c r="Z89" i="2" s="1"/>
  <c r="U88" i="2"/>
  <c r="Z88" i="2" s="1"/>
  <c r="U87" i="2"/>
  <c r="Z87" i="2" s="1"/>
  <c r="U86" i="2"/>
  <c r="Z86" i="2" s="1"/>
  <c r="U85" i="2"/>
  <c r="Z85" i="2" s="1"/>
  <c r="U84" i="2"/>
  <c r="Z84" i="2" s="1"/>
  <c r="U82" i="2"/>
  <c r="Z82" i="2" s="1"/>
  <c r="U81" i="2"/>
  <c r="Z81" i="2" s="1"/>
  <c r="U80" i="2"/>
  <c r="Z80" i="2" s="1"/>
  <c r="U79" i="2"/>
  <c r="Z79" i="2" s="1"/>
  <c r="U78" i="2"/>
  <c r="Z78" i="2" s="1"/>
  <c r="U77" i="2"/>
  <c r="Z77" i="2" s="1"/>
  <c r="U76" i="2"/>
  <c r="Z76" i="2" s="1"/>
  <c r="U75" i="2"/>
  <c r="Z75" i="2" s="1"/>
  <c r="U74" i="2"/>
  <c r="Z74" i="2" s="1"/>
  <c r="U73" i="2"/>
  <c r="Z73" i="2" s="1"/>
  <c r="U72" i="2"/>
  <c r="Z72" i="2" s="1"/>
  <c r="U71" i="2"/>
  <c r="Z71" i="2" s="1"/>
  <c r="U70" i="2"/>
  <c r="Z70" i="2" s="1"/>
  <c r="U69" i="2"/>
  <c r="Z69" i="2" s="1"/>
  <c r="U67" i="2"/>
  <c r="Z67" i="2" s="1"/>
  <c r="U66" i="2"/>
  <c r="Z66" i="2" s="1"/>
  <c r="U65" i="2"/>
  <c r="Z65" i="2" s="1"/>
  <c r="U64" i="2"/>
  <c r="Z64" i="2" s="1"/>
  <c r="U63" i="2"/>
  <c r="Z63" i="2" s="1"/>
  <c r="U62" i="2"/>
  <c r="Z62" i="2" s="1"/>
  <c r="U61" i="2"/>
  <c r="Z61" i="2" s="1"/>
  <c r="U59" i="2"/>
  <c r="Z59" i="2" s="1"/>
  <c r="U58" i="2"/>
  <c r="Z58" i="2" s="1"/>
  <c r="U57" i="2"/>
  <c r="U56" i="2"/>
  <c r="Z56" i="2" s="1"/>
  <c r="U55" i="2"/>
  <c r="Z55" i="2" s="1"/>
  <c r="U54" i="2"/>
  <c r="Z54" i="2" s="1"/>
  <c r="U53" i="2"/>
  <c r="Z53" i="2" s="1"/>
  <c r="U51" i="2"/>
  <c r="Z51" i="2" s="1"/>
  <c r="U50" i="2"/>
  <c r="Z50" i="2" s="1"/>
  <c r="U49" i="2"/>
  <c r="Z49" i="2" s="1"/>
  <c r="U48" i="2"/>
  <c r="Z48" i="2" s="1"/>
  <c r="U47" i="2"/>
  <c r="Z47" i="2" s="1"/>
  <c r="U46" i="2"/>
  <c r="Z46" i="2" s="1"/>
  <c r="U45" i="2"/>
  <c r="Z45" i="2" s="1"/>
  <c r="U44" i="2"/>
  <c r="Z44" i="2" s="1"/>
  <c r="U43" i="2"/>
  <c r="Z43" i="2" s="1"/>
  <c r="U42" i="2"/>
  <c r="Z42" i="2" s="1"/>
  <c r="U41" i="2"/>
  <c r="Z41" i="2" s="1"/>
  <c r="U40" i="2"/>
  <c r="Z40" i="2" s="1"/>
  <c r="U39" i="2"/>
  <c r="Z39" i="2" s="1"/>
  <c r="U37" i="2"/>
  <c r="Z37" i="2" s="1"/>
  <c r="U36" i="2"/>
  <c r="Z36" i="2" s="1"/>
  <c r="U35" i="2"/>
  <c r="Z35" i="2" s="1"/>
  <c r="U34" i="2"/>
  <c r="Z34" i="2" s="1"/>
  <c r="U32" i="2"/>
  <c r="Z32" i="2" s="1"/>
  <c r="U31" i="2"/>
  <c r="Z31" i="2" s="1"/>
  <c r="U30" i="2"/>
  <c r="Z30" i="2" s="1"/>
  <c r="U29" i="2"/>
  <c r="Z29" i="2" s="1"/>
  <c r="U28" i="2"/>
  <c r="Z28" i="2" s="1"/>
  <c r="U27" i="2"/>
  <c r="Z27" i="2" s="1"/>
  <c r="U26" i="2"/>
  <c r="Z26" i="2" s="1"/>
  <c r="U25" i="2"/>
  <c r="Z25" i="2" s="1"/>
  <c r="U24" i="2"/>
  <c r="Z24" i="2" s="1"/>
  <c r="U23" i="2"/>
  <c r="Z23" i="2" s="1"/>
  <c r="U22" i="2"/>
  <c r="Z22" i="2" s="1"/>
  <c r="U21" i="2"/>
  <c r="Z21" i="2" s="1"/>
  <c r="U20" i="2"/>
  <c r="Z20" i="2" s="1"/>
  <c r="U19" i="2"/>
  <c r="Z19" i="2" s="1"/>
  <c r="U18" i="2"/>
  <c r="Z18" i="2" s="1"/>
  <c r="U17" i="2"/>
  <c r="Z17" i="2" s="1"/>
  <c r="U16" i="2"/>
  <c r="Z16" i="2" s="1"/>
  <c r="U15" i="2"/>
  <c r="Z15" i="2" s="1"/>
  <c r="U14" i="2"/>
  <c r="Z14" i="2" s="1"/>
  <c r="U9" i="2"/>
  <c r="Z9" i="2" s="1"/>
  <c r="U10" i="2"/>
  <c r="Z10" i="2" s="1"/>
  <c r="U11" i="2"/>
  <c r="Z11" i="2" s="1"/>
  <c r="U12" i="2"/>
  <c r="Z12" i="2" s="1"/>
  <c r="U8" i="2"/>
  <c r="Z8" i="2" s="1"/>
  <c r="Z213" i="2" l="1"/>
  <c r="Z105" i="2"/>
  <c r="Z38" i="2"/>
  <c r="Z68" i="2"/>
  <c r="Z129" i="2"/>
  <c r="Z160" i="2"/>
  <c r="Z275" i="2"/>
  <c r="Z292" i="2"/>
  <c r="Z246" i="2"/>
  <c r="Z123" i="2"/>
  <c r="Z172" i="2"/>
  <c r="Z205" i="2"/>
  <c r="Z154" i="2"/>
  <c r="Z94" i="2"/>
  <c r="Z117" i="2"/>
  <c r="Z194" i="2"/>
  <c r="Z136" i="2"/>
  <c r="Z348" i="2"/>
  <c r="Z261" i="2"/>
  <c r="Z13" i="2"/>
  <c r="Z33" i="2"/>
  <c r="U415" i="2"/>
  <c r="Z411" i="2"/>
  <c r="Z415" i="2" s="1"/>
  <c r="Z410" i="2"/>
  <c r="Z363" i="2"/>
  <c r="Z441" i="2"/>
  <c r="Z421" i="2"/>
  <c r="Z431" i="2" s="1"/>
  <c r="Z402" i="2"/>
  <c r="Z236" i="2"/>
  <c r="Z83" i="2"/>
  <c r="Z358" i="2"/>
  <c r="Z52" i="2"/>
  <c r="Z443" i="2" l="1"/>
  <c r="Z378" i="2"/>
  <c r="R440" i="2"/>
  <c r="R171" i="2" l="1"/>
  <c r="R442" i="2"/>
  <c r="R439" i="2"/>
  <c r="R438" i="2"/>
  <c r="R437" i="2"/>
  <c r="R436" i="2"/>
  <c r="R435" i="2"/>
  <c r="R434" i="2"/>
  <c r="R433" i="2"/>
  <c r="R432" i="2"/>
  <c r="R430" i="2"/>
  <c r="R429" i="2"/>
  <c r="R428" i="2"/>
  <c r="R427" i="2"/>
  <c r="R426" i="2"/>
  <c r="R425" i="2"/>
  <c r="R424" i="2"/>
  <c r="R423" i="2"/>
  <c r="R422" i="2"/>
  <c r="R421" i="2"/>
  <c r="R420" i="2"/>
  <c r="R418" i="2"/>
  <c r="R416" i="2"/>
  <c r="R414" i="2"/>
  <c r="R413" i="2"/>
  <c r="R412" i="2"/>
  <c r="R411" i="2"/>
  <c r="R409" i="2"/>
  <c r="R408" i="2"/>
  <c r="R407" i="2"/>
  <c r="R406" i="2"/>
  <c r="R405" i="2"/>
  <c r="R404" i="2"/>
  <c r="R403" i="2"/>
  <c r="R401" i="2"/>
  <c r="R400" i="2"/>
  <c r="R399" i="2"/>
  <c r="R398" i="2"/>
  <c r="R397" i="2"/>
  <c r="R396" i="2"/>
  <c r="R395" i="2"/>
  <c r="R394" i="2"/>
  <c r="R393" i="2"/>
  <c r="R392" i="2"/>
  <c r="R391" i="2"/>
  <c r="R390" i="2"/>
  <c r="R388" i="2"/>
  <c r="R387" i="2"/>
  <c r="R386" i="2"/>
  <c r="R385" i="2"/>
  <c r="R384" i="2"/>
  <c r="R383" i="2"/>
  <c r="R382" i="2"/>
  <c r="R381" i="2"/>
  <c r="R380" i="2"/>
  <c r="R379" i="2"/>
  <c r="R377" i="2"/>
  <c r="R375" i="2"/>
  <c r="R374" i="2"/>
  <c r="R373" i="2"/>
  <c r="R372" i="2"/>
  <c r="R371" i="2"/>
  <c r="R370" i="2"/>
  <c r="R369" i="2"/>
  <c r="R368" i="2"/>
  <c r="R367" i="2"/>
  <c r="R366" i="2"/>
  <c r="R365" i="2"/>
  <c r="R364" i="2"/>
  <c r="R362" i="2"/>
  <c r="R361" i="2"/>
  <c r="R360" i="2"/>
  <c r="R359" i="2"/>
  <c r="R357" i="2"/>
  <c r="R356" i="2"/>
  <c r="R355" i="2"/>
  <c r="R354" i="2"/>
  <c r="R353" i="2"/>
  <c r="R352" i="2"/>
  <c r="R351" i="2"/>
  <c r="R350" i="2"/>
  <c r="R349" i="2"/>
  <c r="R347" i="2"/>
  <c r="R346" i="2"/>
  <c r="R345" i="2"/>
  <c r="R344" i="2"/>
  <c r="R343" i="2"/>
  <c r="R342" i="2"/>
  <c r="R341" i="2"/>
  <c r="R340" i="2"/>
  <c r="R339" i="2"/>
  <c r="R338" i="2"/>
  <c r="R337" i="2"/>
  <c r="R336" i="2"/>
  <c r="R335" i="2"/>
  <c r="R334" i="2"/>
  <c r="R333" i="2"/>
  <c r="R332" i="2"/>
  <c r="R331" i="2"/>
  <c r="R330" i="2"/>
  <c r="R329" i="2"/>
  <c r="R328" i="2"/>
  <c r="R327" i="2"/>
  <c r="R326" i="2"/>
  <c r="R325" i="2"/>
  <c r="R324" i="2"/>
  <c r="R323" i="2"/>
  <c r="R322" i="2"/>
  <c r="R320" i="2"/>
  <c r="R318" i="2"/>
  <c r="R317" i="2"/>
  <c r="R316" i="2"/>
  <c r="R315" i="2"/>
  <c r="R314" i="2"/>
  <c r="R313" i="2"/>
  <c r="R312" i="2"/>
  <c r="R310" i="2"/>
  <c r="R309" i="2"/>
  <c r="R308" i="2"/>
  <c r="R307" i="2"/>
  <c r="R306" i="2"/>
  <c r="R305" i="2"/>
  <c r="R304" i="2"/>
  <c r="R303" i="2"/>
  <c r="R302" i="2"/>
  <c r="R301" i="2"/>
  <c r="R300" i="2"/>
  <c r="R299" i="2"/>
  <c r="R298" i="2"/>
  <c r="R297" i="2"/>
  <c r="R296" i="2"/>
  <c r="R295" i="2"/>
  <c r="R294" i="2"/>
  <c r="R293" i="2"/>
  <c r="R291" i="2"/>
  <c r="R290" i="2"/>
  <c r="R289" i="2"/>
  <c r="R288" i="2"/>
  <c r="R286" i="2"/>
  <c r="R285" i="2"/>
  <c r="R284" i="2"/>
  <c r="R283" i="2"/>
  <c r="R282" i="2"/>
  <c r="R281" i="2"/>
  <c r="R280" i="2"/>
  <c r="R279" i="2"/>
  <c r="R278" i="2"/>
  <c r="R277" i="2"/>
  <c r="R276" i="2"/>
  <c r="R274" i="2"/>
  <c r="R273" i="2"/>
  <c r="R272" i="2"/>
  <c r="R271" i="2"/>
  <c r="R270" i="2"/>
  <c r="R269" i="2"/>
  <c r="R268" i="2"/>
  <c r="R267" i="2"/>
  <c r="R266" i="2"/>
  <c r="R265" i="2"/>
  <c r="R264" i="2"/>
  <c r="R263" i="2"/>
  <c r="R262" i="2"/>
  <c r="R260" i="2"/>
  <c r="R259" i="2"/>
  <c r="R258" i="2"/>
  <c r="R257" i="2"/>
  <c r="R256" i="2"/>
  <c r="R255" i="2"/>
  <c r="R254" i="2"/>
  <c r="R253" i="2"/>
  <c r="R252" i="2"/>
  <c r="R251" i="2"/>
  <c r="R250" i="2"/>
  <c r="R249" i="2"/>
  <c r="R248" i="2"/>
  <c r="R247" i="2"/>
  <c r="R245" i="2"/>
  <c r="R244" i="2"/>
  <c r="R243" i="2"/>
  <c r="R242" i="2"/>
  <c r="R241" i="2"/>
  <c r="R240" i="2"/>
  <c r="R239" i="2"/>
  <c r="R238" i="2"/>
  <c r="R237" i="2"/>
  <c r="R235" i="2"/>
  <c r="R234" i="2"/>
  <c r="R233" i="2"/>
  <c r="R232" i="2"/>
  <c r="R231" i="2"/>
  <c r="R230" i="2"/>
  <c r="R229" i="2"/>
  <c r="R228" i="2"/>
  <c r="R227" i="2"/>
  <c r="R226" i="2"/>
  <c r="R225" i="2"/>
  <c r="R224" i="2"/>
  <c r="R223" i="2"/>
  <c r="R222" i="2"/>
  <c r="R221" i="2"/>
  <c r="R220" i="2"/>
  <c r="R219" i="2"/>
  <c r="R218" i="2"/>
  <c r="R217" i="2"/>
  <c r="R216" i="2"/>
  <c r="R214" i="2"/>
  <c r="R212" i="2"/>
  <c r="R211" i="2"/>
  <c r="R210" i="2"/>
  <c r="R209" i="2"/>
  <c r="R208" i="2"/>
  <c r="R207" i="2"/>
  <c r="R206" i="2"/>
  <c r="R204" i="2"/>
  <c r="R203" i="2"/>
  <c r="R202" i="2"/>
  <c r="R201" i="2"/>
  <c r="R200" i="2"/>
  <c r="R199" i="2"/>
  <c r="R198" i="2"/>
  <c r="R197" i="2"/>
  <c r="R196" i="2"/>
  <c r="R195" i="2"/>
  <c r="R193" i="2"/>
  <c r="R192" i="2"/>
  <c r="R191" i="2"/>
  <c r="R190" i="2"/>
  <c r="R189" i="2"/>
  <c r="R188" i="2"/>
  <c r="R187" i="2"/>
  <c r="R186" i="2"/>
  <c r="R185" i="2"/>
  <c r="R184" i="2"/>
  <c r="R183" i="2"/>
  <c r="R182" i="2"/>
  <c r="R181" i="2"/>
  <c r="R180" i="2"/>
  <c r="R179" i="2"/>
  <c r="R178" i="2"/>
  <c r="R176" i="2"/>
  <c r="R175" i="2"/>
  <c r="R174" i="2"/>
  <c r="R173" i="2"/>
  <c r="R170" i="2"/>
  <c r="R169" i="2"/>
  <c r="R168" i="2"/>
  <c r="R167" i="2"/>
  <c r="R166" i="2"/>
  <c r="R164" i="2"/>
  <c r="R163" i="2"/>
  <c r="R162" i="2"/>
  <c r="R161" i="2"/>
  <c r="R159" i="2"/>
  <c r="R158" i="2"/>
  <c r="R157" i="2"/>
  <c r="R156" i="2"/>
  <c r="R155" i="2"/>
  <c r="R153" i="2"/>
  <c r="R152" i="2"/>
  <c r="R151" i="2"/>
  <c r="R150" i="2"/>
  <c r="R149" i="2"/>
  <c r="R148" i="2"/>
  <c r="R146" i="2"/>
  <c r="R145" i="2"/>
  <c r="R144" i="2"/>
  <c r="R143" i="2"/>
  <c r="R142" i="2"/>
  <c r="R140" i="2"/>
  <c r="R139" i="2"/>
  <c r="R138" i="2"/>
  <c r="R137" i="2"/>
  <c r="R135" i="2"/>
  <c r="R134" i="2"/>
  <c r="R133" i="2"/>
  <c r="R132" i="2"/>
  <c r="R131" i="2"/>
  <c r="R130" i="2"/>
  <c r="R128" i="2"/>
  <c r="R127" i="2"/>
  <c r="R126" i="2"/>
  <c r="R125" i="2"/>
  <c r="R124" i="2"/>
  <c r="R122" i="2"/>
  <c r="R121" i="2"/>
  <c r="R120" i="2"/>
  <c r="R119" i="2"/>
  <c r="R118" i="2"/>
  <c r="R116" i="2"/>
  <c r="R115" i="2"/>
  <c r="R114" i="2"/>
  <c r="R113" i="2"/>
  <c r="R112" i="2"/>
  <c r="R111" i="2"/>
  <c r="R109" i="2"/>
  <c r="R108" i="2"/>
  <c r="R107" i="2"/>
  <c r="R106" i="2"/>
  <c r="R104" i="2"/>
  <c r="R103" i="2"/>
  <c r="R102" i="2"/>
  <c r="R101" i="2"/>
  <c r="R100" i="2"/>
  <c r="R99" i="2"/>
  <c r="R98" i="2"/>
  <c r="R97" i="2"/>
  <c r="R96" i="2"/>
  <c r="R95" i="2"/>
  <c r="R93" i="2"/>
  <c r="R92" i="2"/>
  <c r="R91" i="2"/>
  <c r="R90" i="2"/>
  <c r="R89" i="2"/>
  <c r="R88" i="2"/>
  <c r="R87" i="2"/>
  <c r="R86" i="2"/>
  <c r="R85" i="2"/>
  <c r="R84" i="2"/>
  <c r="R82" i="2"/>
  <c r="R81" i="2"/>
  <c r="R80" i="2"/>
  <c r="R79" i="2"/>
  <c r="R78" i="2"/>
  <c r="R77" i="2"/>
  <c r="R76" i="2"/>
  <c r="R75" i="2"/>
  <c r="R74" i="2"/>
  <c r="R73" i="2"/>
  <c r="R72" i="2"/>
  <c r="R71" i="2"/>
  <c r="R70" i="2"/>
  <c r="R69" i="2"/>
  <c r="R67" i="2"/>
  <c r="R66" i="2"/>
  <c r="R65" i="2"/>
  <c r="R64" i="2"/>
  <c r="R63" i="2"/>
  <c r="R62" i="2"/>
  <c r="R61" i="2"/>
  <c r="R59" i="2"/>
  <c r="R58" i="2"/>
  <c r="R57" i="2"/>
  <c r="R56" i="2"/>
  <c r="R55" i="2"/>
  <c r="R54" i="2"/>
  <c r="R53" i="2"/>
  <c r="R51" i="2"/>
  <c r="R50" i="2"/>
  <c r="R49" i="2"/>
  <c r="R48" i="2"/>
  <c r="R47" i="2"/>
  <c r="R46" i="2"/>
  <c r="R45" i="2"/>
  <c r="R44" i="2"/>
  <c r="R43" i="2"/>
  <c r="R42" i="2"/>
  <c r="R41" i="2"/>
  <c r="R40" i="2"/>
  <c r="R39" i="2"/>
  <c r="R37" i="2"/>
  <c r="R36" i="2"/>
  <c r="R35" i="2"/>
  <c r="R34" i="2"/>
  <c r="R32" i="2"/>
  <c r="R31" i="2"/>
  <c r="R30" i="2"/>
  <c r="R29" i="2"/>
  <c r="R28" i="2"/>
  <c r="R27" i="2"/>
  <c r="R26" i="2"/>
  <c r="R25" i="2"/>
  <c r="R24" i="2"/>
  <c r="R23" i="2"/>
  <c r="R22" i="2"/>
  <c r="R21" i="2"/>
  <c r="R20" i="2"/>
  <c r="R19" i="2"/>
  <c r="R18" i="2"/>
  <c r="R17" i="2"/>
  <c r="R16" i="2"/>
  <c r="R15" i="2"/>
  <c r="R14" i="2"/>
  <c r="R9" i="2"/>
  <c r="R10" i="2"/>
  <c r="R11" i="2"/>
  <c r="R12" i="2"/>
  <c r="R8" i="2"/>
  <c r="W443" i="2"/>
  <c r="W402" i="2"/>
  <c r="W389" i="2"/>
  <c r="W300" i="2"/>
  <c r="W213" i="2"/>
  <c r="W110" i="2"/>
  <c r="W68" i="2"/>
  <c r="W38" i="2"/>
  <c r="W13" i="2"/>
  <c r="X147" i="2"/>
  <c r="Y147" i="2"/>
  <c r="X165" i="2"/>
  <c r="Y165" i="2"/>
  <c r="X172" i="2"/>
  <c r="Y172" i="2"/>
  <c r="Y177" i="2"/>
  <c r="Y194" i="2"/>
  <c r="Y236" i="2"/>
  <c r="X246" i="2"/>
  <c r="Y246" i="2"/>
  <c r="X261" i="2"/>
  <c r="Y261" i="2"/>
  <c r="X275" i="2"/>
  <c r="Y275" i="2"/>
  <c r="X358" i="2"/>
  <c r="Y358" i="2"/>
  <c r="X389" i="2"/>
  <c r="K402" i="2"/>
  <c r="L402" i="2"/>
  <c r="M402" i="2"/>
  <c r="N402" i="2"/>
  <c r="O402" i="2"/>
  <c r="P402" i="2"/>
  <c r="Q402" i="2"/>
  <c r="T402" i="2"/>
  <c r="X402" i="2"/>
  <c r="Y402" i="2"/>
  <c r="X348" i="2"/>
  <c r="Y348" i="2"/>
  <c r="X292" i="2"/>
  <c r="Y292" i="2"/>
  <c r="X311" i="2"/>
  <c r="Y311" i="2"/>
  <c r="Y287" i="2"/>
  <c r="Y57" i="2"/>
  <c r="Y38" i="2"/>
  <c r="Y52" i="2"/>
  <c r="X141" i="2"/>
  <c r="Y141" i="2"/>
  <c r="X136" i="2"/>
  <c r="Y136" i="2"/>
  <c r="Y129" i="2"/>
  <c r="X123" i="2"/>
  <c r="Y123" i="2"/>
  <c r="X110" i="2"/>
  <c r="Y110" i="2"/>
  <c r="X105" i="2"/>
  <c r="Y105" i="2"/>
  <c r="X94" i="2"/>
  <c r="Y94" i="2"/>
  <c r="X83" i="2"/>
  <c r="Y83" i="2"/>
  <c r="X68" i="2"/>
  <c r="Y68" i="2"/>
  <c r="X52" i="2"/>
  <c r="X38" i="2"/>
  <c r="N13" i="2"/>
  <c r="O13" i="2"/>
  <c r="P13" i="2"/>
  <c r="Q13" i="2"/>
  <c r="T13" i="2"/>
  <c r="M13" i="2"/>
  <c r="T431" i="2"/>
  <c r="Q147" i="2"/>
  <c r="D57" i="3"/>
  <c r="D58" i="3"/>
  <c r="D56" i="3"/>
  <c r="D50" i="3"/>
  <c r="D51" i="3"/>
  <c r="D52" i="3"/>
  <c r="D53" i="3"/>
  <c r="D49" i="3"/>
  <c r="D43" i="3"/>
  <c r="D44" i="3"/>
  <c r="D45" i="3"/>
  <c r="D46" i="3"/>
  <c r="D42" i="3"/>
  <c r="D32" i="3"/>
  <c r="D33" i="3"/>
  <c r="D34" i="3"/>
  <c r="D35" i="3"/>
  <c r="D36" i="3"/>
  <c r="D37" i="3"/>
  <c r="D38" i="3"/>
  <c r="D39" i="3"/>
  <c r="D31" i="3"/>
  <c r="D5" i="3"/>
  <c r="D6" i="3"/>
  <c r="D7" i="3"/>
  <c r="D8" i="3"/>
  <c r="D9" i="3"/>
  <c r="D10" i="3"/>
  <c r="D11" i="3"/>
  <c r="D12" i="3"/>
  <c r="D13" i="3"/>
  <c r="D14" i="3"/>
  <c r="D15" i="3"/>
  <c r="D16" i="3"/>
  <c r="D17" i="3"/>
  <c r="D18" i="3"/>
  <c r="D19" i="3"/>
  <c r="D20" i="3"/>
  <c r="D21" i="3"/>
  <c r="D22" i="3"/>
  <c r="D23" i="3"/>
  <c r="D24" i="3"/>
  <c r="D25" i="3"/>
  <c r="D26" i="3"/>
  <c r="D27" i="3"/>
  <c r="D28" i="3"/>
  <c r="D4" i="3"/>
  <c r="C59" i="3"/>
  <c r="C54" i="3"/>
  <c r="C47" i="3"/>
  <c r="C40" i="3"/>
  <c r="C29" i="3"/>
  <c r="Y321" i="2" l="1"/>
  <c r="W311" i="2"/>
  <c r="W321" i="2" s="1"/>
  <c r="Z300" i="2"/>
  <c r="Z311" i="2" s="1"/>
  <c r="Y60" i="2"/>
  <c r="Y215" i="2" s="1"/>
  <c r="Z57" i="2"/>
  <c r="Z60" i="2" s="1"/>
  <c r="X215" i="2"/>
  <c r="W417" i="2"/>
  <c r="X443" i="2"/>
  <c r="X417" i="2"/>
  <c r="AA94" i="2"/>
  <c r="C61" i="3"/>
  <c r="B59" i="3"/>
  <c r="D59" i="3" s="1"/>
  <c r="B54" i="3"/>
  <c r="D54" i="3" s="1"/>
  <c r="B47" i="3"/>
  <c r="D47" i="3" s="1"/>
  <c r="B40" i="3"/>
  <c r="D40" i="3" s="1"/>
  <c r="B29" i="3"/>
  <c r="D29" i="3" s="1"/>
  <c r="D61" i="3" l="1"/>
  <c r="B61" i="3"/>
  <c r="U338" i="1" l="1"/>
  <c r="S338" i="1"/>
  <c r="U110" i="1" l="1"/>
  <c r="U87" i="1" l="1"/>
  <c r="S91" i="1"/>
  <c r="T441" i="2"/>
  <c r="T443" i="2" s="1"/>
  <c r="Q441" i="2"/>
  <c r="P441" i="2"/>
  <c r="O441" i="2"/>
  <c r="O443" i="2" s="1"/>
  <c r="O444" i="2" s="1"/>
  <c r="N441" i="2"/>
  <c r="N443" i="2" s="1"/>
  <c r="N444" i="2" s="1"/>
  <c r="M441" i="2"/>
  <c r="M443" i="2" s="1"/>
  <c r="L441" i="2"/>
  <c r="K441" i="2"/>
  <c r="J441" i="2"/>
  <c r="Q431" i="2"/>
  <c r="P431" i="2"/>
  <c r="L431" i="2"/>
  <c r="K431" i="2"/>
  <c r="J431" i="2"/>
  <c r="AA417" i="2"/>
  <c r="Q415" i="2"/>
  <c r="P415" i="2"/>
  <c r="L415" i="2"/>
  <c r="K415" i="2"/>
  <c r="J415" i="2"/>
  <c r="T410" i="2"/>
  <c r="Q410" i="2"/>
  <c r="P410" i="2"/>
  <c r="L410" i="2"/>
  <c r="K410" i="2"/>
  <c r="J410" i="2"/>
  <c r="S408" i="2"/>
  <c r="S407" i="2"/>
  <c r="S405" i="2"/>
  <c r="S404" i="2"/>
  <c r="J402" i="2"/>
  <c r="T389" i="2"/>
  <c r="Q389" i="2"/>
  <c r="P389" i="2"/>
  <c r="L389" i="2"/>
  <c r="K389" i="2"/>
  <c r="J389" i="2"/>
  <c r="AA378" i="2"/>
  <c r="S377" i="2"/>
  <c r="T376" i="2"/>
  <c r="Q376" i="2"/>
  <c r="P376" i="2"/>
  <c r="L376" i="2"/>
  <c r="K376" i="2"/>
  <c r="J376" i="2"/>
  <c r="J363" i="2"/>
  <c r="I360" i="2"/>
  <c r="I359" i="2"/>
  <c r="T358" i="2"/>
  <c r="Q358" i="2"/>
  <c r="P358" i="2"/>
  <c r="L358" i="2"/>
  <c r="K358" i="2"/>
  <c r="J358" i="2"/>
  <c r="T348" i="2"/>
  <c r="Q348" i="2"/>
  <c r="P348" i="2"/>
  <c r="L348" i="2"/>
  <c r="K348" i="2"/>
  <c r="J348" i="2"/>
  <c r="I335" i="2"/>
  <c r="I333" i="2"/>
  <c r="I332" i="2"/>
  <c r="I330" i="2"/>
  <c r="I329" i="2"/>
  <c r="I326" i="2"/>
  <c r="T319" i="2"/>
  <c r="Q319" i="2"/>
  <c r="P319" i="2"/>
  <c r="L319" i="2"/>
  <c r="K319" i="2"/>
  <c r="J319" i="2"/>
  <c r="S318" i="2"/>
  <c r="I317" i="2"/>
  <c r="I316" i="2"/>
  <c r="I315" i="2"/>
  <c r="S313" i="2"/>
  <c r="I313" i="2"/>
  <c r="T311" i="2"/>
  <c r="Q311" i="2"/>
  <c r="P311" i="2"/>
  <c r="L311" i="2"/>
  <c r="K311" i="2"/>
  <c r="J311" i="2"/>
  <c r="S303" i="2"/>
  <c r="S301" i="2"/>
  <c r="S296" i="2"/>
  <c r="Q292" i="2"/>
  <c r="P292" i="2"/>
  <c r="L292" i="2"/>
  <c r="K292" i="2"/>
  <c r="J292" i="2"/>
  <c r="T290" i="2"/>
  <c r="S289" i="2"/>
  <c r="Q287" i="2"/>
  <c r="P287" i="2"/>
  <c r="L287" i="2"/>
  <c r="K287" i="2"/>
  <c r="J287" i="2"/>
  <c r="T286" i="2"/>
  <c r="T285" i="2"/>
  <c r="T284" i="2"/>
  <c r="T283" i="2"/>
  <c r="T282" i="2"/>
  <c r="T280" i="2"/>
  <c r="T277" i="2"/>
  <c r="T276" i="2"/>
  <c r="S276" i="2"/>
  <c r="P275" i="2"/>
  <c r="L275" i="2"/>
  <c r="K275" i="2"/>
  <c r="J275" i="2"/>
  <c r="T274" i="2"/>
  <c r="S274" i="2"/>
  <c r="S273" i="2"/>
  <c r="T270" i="2"/>
  <c r="S269" i="2"/>
  <c r="T268" i="2"/>
  <c r="S267" i="2"/>
  <c r="Q261" i="2"/>
  <c r="P261" i="2"/>
  <c r="L261" i="2"/>
  <c r="K261" i="2"/>
  <c r="J261" i="2"/>
  <c r="Q246" i="2"/>
  <c r="P246" i="2"/>
  <c r="L246" i="2"/>
  <c r="K246" i="2"/>
  <c r="J246" i="2"/>
  <c r="T236" i="2"/>
  <c r="Q236" i="2"/>
  <c r="P236" i="2"/>
  <c r="L236" i="2"/>
  <c r="K236" i="2"/>
  <c r="J236" i="2"/>
  <c r="I217" i="2"/>
  <c r="T213" i="2"/>
  <c r="Q213" i="2"/>
  <c r="P213" i="2"/>
  <c r="L213" i="2"/>
  <c r="K213" i="2"/>
  <c r="J213" i="2"/>
  <c r="I211" i="2"/>
  <c r="I210" i="2"/>
  <c r="T205" i="2"/>
  <c r="Q205" i="2"/>
  <c r="P205" i="2"/>
  <c r="L205" i="2"/>
  <c r="K205" i="2"/>
  <c r="J205" i="2"/>
  <c r="T194" i="2"/>
  <c r="Q194" i="2"/>
  <c r="P194" i="2"/>
  <c r="L194" i="2"/>
  <c r="K194" i="2"/>
  <c r="J194" i="2"/>
  <c r="T177" i="2"/>
  <c r="Q177" i="2"/>
  <c r="P177" i="2"/>
  <c r="L177" i="2"/>
  <c r="K177" i="2"/>
  <c r="J177" i="2"/>
  <c r="T172" i="2"/>
  <c r="Q172" i="2"/>
  <c r="P172" i="2"/>
  <c r="L172" i="2"/>
  <c r="K172" i="2"/>
  <c r="J172" i="2"/>
  <c r="I168" i="2"/>
  <c r="I167" i="2"/>
  <c r="T165" i="2"/>
  <c r="Q165" i="2"/>
  <c r="P165" i="2"/>
  <c r="L165" i="2"/>
  <c r="K165" i="2"/>
  <c r="J165" i="2"/>
  <c r="T160" i="2"/>
  <c r="Q160" i="2"/>
  <c r="P160" i="2"/>
  <c r="L160" i="2"/>
  <c r="K160" i="2"/>
  <c r="J160" i="2"/>
  <c r="I156" i="2"/>
  <c r="T154" i="2"/>
  <c r="Q154" i="2"/>
  <c r="P154" i="2"/>
  <c r="L154" i="2"/>
  <c r="K154" i="2"/>
  <c r="J154" i="2"/>
  <c r="I148" i="2"/>
  <c r="T147" i="2"/>
  <c r="P147" i="2"/>
  <c r="L147" i="2"/>
  <c r="K147" i="2"/>
  <c r="J147" i="2"/>
  <c r="I146" i="2"/>
  <c r="I143" i="2"/>
  <c r="T141" i="2"/>
  <c r="Q141" i="2"/>
  <c r="P141" i="2"/>
  <c r="L141" i="2"/>
  <c r="K141" i="2"/>
  <c r="J141" i="2"/>
  <c r="I138" i="2"/>
  <c r="T136" i="2"/>
  <c r="Q136" i="2"/>
  <c r="P136" i="2"/>
  <c r="L136" i="2"/>
  <c r="K136" i="2"/>
  <c r="J136" i="2"/>
  <c r="I134" i="2"/>
  <c r="T129" i="2"/>
  <c r="Q129" i="2"/>
  <c r="P129" i="2"/>
  <c r="L129" i="2"/>
  <c r="K129" i="2"/>
  <c r="J129" i="2"/>
  <c r="I125" i="2"/>
  <c r="T123" i="2"/>
  <c r="Q123" i="2"/>
  <c r="P123" i="2"/>
  <c r="L123" i="2"/>
  <c r="K123" i="2"/>
  <c r="J123" i="2"/>
  <c r="I119" i="2"/>
  <c r="I118" i="2"/>
  <c r="T117" i="2"/>
  <c r="Q117" i="2"/>
  <c r="P117" i="2"/>
  <c r="L117" i="2"/>
  <c r="K117" i="2"/>
  <c r="J117" i="2"/>
  <c r="I114" i="2"/>
  <c r="I113" i="2"/>
  <c r="I112" i="2"/>
  <c r="T110" i="2"/>
  <c r="Q110" i="2"/>
  <c r="P110" i="2"/>
  <c r="L110" i="2"/>
  <c r="K110" i="2"/>
  <c r="J110" i="2"/>
  <c r="Q105" i="2"/>
  <c r="P105" i="2"/>
  <c r="L105" i="2"/>
  <c r="K105" i="2"/>
  <c r="J105" i="2"/>
  <c r="T95" i="2"/>
  <c r="Q94" i="2"/>
  <c r="P94" i="2"/>
  <c r="L94" i="2"/>
  <c r="K94" i="2"/>
  <c r="J94" i="2"/>
  <c r="P83" i="2"/>
  <c r="L83" i="2"/>
  <c r="K83" i="2"/>
  <c r="J83" i="2"/>
  <c r="T75" i="2"/>
  <c r="T68" i="2"/>
  <c r="Q68" i="2"/>
  <c r="P68" i="2"/>
  <c r="L68" i="2"/>
  <c r="K68" i="2"/>
  <c r="J68" i="2"/>
  <c r="I64" i="2"/>
  <c r="I63" i="2"/>
  <c r="I62" i="2"/>
  <c r="T60" i="2"/>
  <c r="Q60" i="2"/>
  <c r="P60" i="2"/>
  <c r="L60" i="2"/>
  <c r="K60" i="2"/>
  <c r="J60" i="2"/>
  <c r="I58" i="2"/>
  <c r="I56" i="2"/>
  <c r="T52" i="2"/>
  <c r="P52" i="2"/>
  <c r="L52" i="2"/>
  <c r="K52" i="2"/>
  <c r="J52" i="2"/>
  <c r="Q52" i="2"/>
  <c r="T38" i="2"/>
  <c r="Q38" i="2"/>
  <c r="P38" i="2"/>
  <c r="L38" i="2"/>
  <c r="K38" i="2"/>
  <c r="J38" i="2"/>
  <c r="P33" i="2"/>
  <c r="L33" i="2"/>
  <c r="K33" i="2"/>
  <c r="J33" i="2"/>
  <c r="T23" i="2"/>
  <c r="S23" i="2"/>
  <c r="I20" i="2"/>
  <c r="I17" i="2"/>
  <c r="L13" i="2"/>
  <c r="K13" i="2"/>
  <c r="J13" i="2"/>
  <c r="AE444" i="1"/>
  <c r="AD444" i="1"/>
  <c r="Z443" i="1"/>
  <c r="W443" i="1"/>
  <c r="X443" i="1" s="1"/>
  <c r="Y442" i="1"/>
  <c r="V442" i="1"/>
  <c r="U442" i="1"/>
  <c r="T442" i="1"/>
  <c r="S442" i="1"/>
  <c r="R442" i="1"/>
  <c r="Q442" i="1"/>
  <c r="P442" i="1"/>
  <c r="O442" i="1"/>
  <c r="N442" i="1"/>
  <c r="M442" i="1"/>
  <c r="L442" i="1"/>
  <c r="K442" i="1"/>
  <c r="J442" i="1"/>
  <c r="Z441" i="1"/>
  <c r="W441" i="1"/>
  <c r="X441" i="1" s="1"/>
  <c r="Z440" i="1"/>
  <c r="W440" i="1"/>
  <c r="X440" i="1" s="1"/>
  <c r="Z439" i="1"/>
  <c r="W439" i="1"/>
  <c r="X439" i="1" s="1"/>
  <c r="Z438" i="1"/>
  <c r="W438" i="1"/>
  <c r="Z437" i="1"/>
  <c r="W437" i="1"/>
  <c r="X437" i="1" s="1"/>
  <c r="Z436" i="1"/>
  <c r="W436" i="1"/>
  <c r="X436" i="1" s="1"/>
  <c r="Z435" i="1"/>
  <c r="W435" i="1"/>
  <c r="X435" i="1" s="1"/>
  <c r="Z434" i="1"/>
  <c r="W434" i="1"/>
  <c r="X434" i="1" s="1"/>
  <c r="Z433" i="1"/>
  <c r="W433" i="1"/>
  <c r="Y432" i="1"/>
  <c r="Y444" i="1" s="1"/>
  <c r="V432" i="1"/>
  <c r="V444" i="1" s="1"/>
  <c r="U432" i="1"/>
  <c r="U444" i="1" s="1"/>
  <c r="T432" i="1"/>
  <c r="S432" i="1"/>
  <c r="R432" i="1"/>
  <c r="Q432" i="1"/>
  <c r="P432" i="1"/>
  <c r="P444" i="1" s="1"/>
  <c r="O432" i="1"/>
  <c r="O444" i="1" s="1"/>
  <c r="N432" i="1"/>
  <c r="N444" i="1" s="1"/>
  <c r="M432" i="1"/>
  <c r="L432" i="1"/>
  <c r="K432" i="1"/>
  <c r="J432" i="1"/>
  <c r="Z431" i="1"/>
  <c r="W431" i="1"/>
  <c r="AA431" i="1" s="1"/>
  <c r="Z430" i="1"/>
  <c r="W430" i="1"/>
  <c r="AA430" i="1" s="1"/>
  <c r="Z429" i="1"/>
  <c r="W429" i="1"/>
  <c r="AA429" i="1" s="1"/>
  <c r="Z428" i="1"/>
  <c r="W428" i="1"/>
  <c r="AA428" i="1" s="1"/>
  <c r="Z427" i="1"/>
  <c r="W427" i="1"/>
  <c r="Z426" i="1"/>
  <c r="W426" i="1"/>
  <c r="AA426" i="1" s="1"/>
  <c r="Z425" i="1"/>
  <c r="W425" i="1"/>
  <c r="AA425" i="1" s="1"/>
  <c r="Z424" i="1"/>
  <c r="W424" i="1"/>
  <c r="AA424" i="1" s="1"/>
  <c r="Z423" i="1"/>
  <c r="W423" i="1"/>
  <c r="AA423" i="1" s="1"/>
  <c r="Z422" i="1"/>
  <c r="W422" i="1"/>
  <c r="X422" i="1" s="1"/>
  <c r="Z421" i="1"/>
  <c r="W421" i="1"/>
  <c r="AA421" i="1" s="1"/>
  <c r="Z420" i="1"/>
  <c r="W420" i="1"/>
  <c r="X420" i="1" s="1"/>
  <c r="Z419" i="1"/>
  <c r="W419" i="1"/>
  <c r="AF418" i="1"/>
  <c r="Z417" i="1"/>
  <c r="W417" i="1"/>
  <c r="X417" i="1" s="1"/>
  <c r="Y416" i="1"/>
  <c r="V416" i="1"/>
  <c r="U416" i="1"/>
  <c r="T416" i="1"/>
  <c r="S416" i="1"/>
  <c r="R416" i="1"/>
  <c r="Q416" i="1"/>
  <c r="P416" i="1"/>
  <c r="O416" i="1"/>
  <c r="N416" i="1"/>
  <c r="M416" i="1"/>
  <c r="L416" i="1"/>
  <c r="K416" i="1"/>
  <c r="J416" i="1"/>
  <c r="Z415" i="1"/>
  <c r="W415" i="1"/>
  <c r="X415" i="1" s="1"/>
  <c r="Z414" i="1"/>
  <c r="W414" i="1"/>
  <c r="AA414" i="1" s="1"/>
  <c r="Z413" i="1"/>
  <c r="W413" i="1"/>
  <c r="X413" i="1" s="1"/>
  <c r="Z412" i="1"/>
  <c r="W412" i="1"/>
  <c r="Y411" i="1"/>
  <c r="V411" i="1"/>
  <c r="U411" i="1"/>
  <c r="T411" i="1"/>
  <c r="S411" i="1"/>
  <c r="R411" i="1"/>
  <c r="Q411" i="1"/>
  <c r="P411" i="1"/>
  <c r="O411" i="1"/>
  <c r="N411" i="1"/>
  <c r="M411" i="1"/>
  <c r="L411" i="1"/>
  <c r="K411" i="1"/>
  <c r="J411" i="1"/>
  <c r="Z410" i="1"/>
  <c r="W410" i="1"/>
  <c r="AA410" i="1" s="1"/>
  <c r="Z409" i="1"/>
  <c r="W409" i="1"/>
  <c r="Z408" i="1"/>
  <c r="W408" i="1"/>
  <c r="AA408" i="1" s="1"/>
  <c r="Z407" i="1"/>
  <c r="W407" i="1"/>
  <c r="Z406" i="1"/>
  <c r="W406" i="1"/>
  <c r="X406" i="1" s="1"/>
  <c r="Z405" i="1"/>
  <c r="W405" i="1"/>
  <c r="Z404" i="1"/>
  <c r="W404" i="1"/>
  <c r="Y403" i="1"/>
  <c r="V403" i="1"/>
  <c r="T403" i="1"/>
  <c r="S403" i="1"/>
  <c r="R403" i="1"/>
  <c r="Q403" i="1"/>
  <c r="P403" i="1"/>
  <c r="O403" i="1"/>
  <c r="N403" i="1"/>
  <c r="M403" i="1"/>
  <c r="L403" i="1"/>
  <c r="K403" i="1"/>
  <c r="J403" i="1"/>
  <c r="Z402" i="1"/>
  <c r="W402" i="1"/>
  <c r="X402" i="1" s="1"/>
  <c r="Z401" i="1"/>
  <c r="W401" i="1"/>
  <c r="AA401" i="1" s="1"/>
  <c r="Z400" i="1"/>
  <c r="W400" i="1"/>
  <c r="X400" i="1" s="1"/>
  <c r="Z399" i="1"/>
  <c r="W399" i="1"/>
  <c r="AA399" i="1" s="1"/>
  <c r="Z398" i="1"/>
  <c r="W398" i="1"/>
  <c r="X398" i="1" s="1"/>
  <c r="Z397" i="1"/>
  <c r="W397" i="1"/>
  <c r="AA397" i="1" s="1"/>
  <c r="Z396" i="1"/>
  <c r="W396" i="1"/>
  <c r="X396" i="1" s="1"/>
  <c r="Z395" i="1"/>
  <c r="W395" i="1"/>
  <c r="AA395" i="1" s="1"/>
  <c r="Z394" i="1"/>
  <c r="W394" i="1"/>
  <c r="X394" i="1" s="1"/>
  <c r="Z393" i="1"/>
  <c r="W393" i="1"/>
  <c r="Z392" i="1"/>
  <c r="U392" i="1"/>
  <c r="W392" i="1" s="1"/>
  <c r="X392" i="1" s="1"/>
  <c r="Z391" i="1"/>
  <c r="W391" i="1"/>
  <c r="X391" i="1" s="1"/>
  <c r="X403" i="1" s="1"/>
  <c r="Y390" i="1"/>
  <c r="V390" i="1"/>
  <c r="T390" i="1"/>
  <c r="S390" i="1"/>
  <c r="S418" i="1" s="1"/>
  <c r="R390" i="1"/>
  <c r="Q390" i="1"/>
  <c r="P390" i="1"/>
  <c r="O390" i="1"/>
  <c r="N390" i="1"/>
  <c r="M390" i="1"/>
  <c r="L390" i="1"/>
  <c r="K390" i="1"/>
  <c r="K418" i="1" s="1"/>
  <c r="J390" i="1"/>
  <c r="Z389" i="1"/>
  <c r="U389" i="1"/>
  <c r="U390" i="1" s="1"/>
  <c r="Z388" i="1"/>
  <c r="W388" i="1"/>
  <c r="AA388" i="1" s="1"/>
  <c r="Z387" i="1"/>
  <c r="W387" i="1"/>
  <c r="X387" i="1" s="1"/>
  <c r="Z386" i="1"/>
  <c r="W386" i="1"/>
  <c r="AA386" i="1" s="1"/>
  <c r="Z385" i="1"/>
  <c r="W385" i="1"/>
  <c r="AA385" i="1" s="1"/>
  <c r="Z384" i="1"/>
  <c r="W384" i="1"/>
  <c r="AA384" i="1" s="1"/>
  <c r="Z383" i="1"/>
  <c r="W383" i="1"/>
  <c r="X383" i="1" s="1"/>
  <c r="Z382" i="1"/>
  <c r="W382" i="1"/>
  <c r="AA382" i="1" s="1"/>
  <c r="Z381" i="1"/>
  <c r="W381" i="1"/>
  <c r="X381" i="1" s="1"/>
  <c r="Z380" i="1"/>
  <c r="W380" i="1"/>
  <c r="AF379" i="1"/>
  <c r="Z378" i="1"/>
  <c r="W378" i="1"/>
  <c r="AA378" i="1" s="1"/>
  <c r="Y377" i="1"/>
  <c r="V377" i="1"/>
  <c r="U377" i="1"/>
  <c r="T377" i="1"/>
  <c r="S377" i="1"/>
  <c r="R377" i="1"/>
  <c r="Q377" i="1"/>
  <c r="P377" i="1"/>
  <c r="O377" i="1"/>
  <c r="N377" i="1"/>
  <c r="M377" i="1"/>
  <c r="L377" i="1"/>
  <c r="K377" i="1"/>
  <c r="J377" i="1"/>
  <c r="Z376" i="1"/>
  <c r="W376" i="1"/>
  <c r="AA376" i="1" s="1"/>
  <c r="Z375" i="1"/>
  <c r="W375" i="1"/>
  <c r="AA375" i="1" s="1"/>
  <c r="Z374" i="1"/>
  <c r="W374" i="1"/>
  <c r="Z373" i="1"/>
  <c r="W373" i="1"/>
  <c r="Z372" i="1"/>
  <c r="W372" i="1"/>
  <c r="Z371" i="1"/>
  <c r="W371" i="1"/>
  <c r="AA371" i="1" s="1"/>
  <c r="Z370" i="1"/>
  <c r="W370" i="1"/>
  <c r="Z369" i="1"/>
  <c r="W369" i="1"/>
  <c r="X369" i="1" s="1"/>
  <c r="Z368" i="1"/>
  <c r="W368" i="1"/>
  <c r="Z367" i="1"/>
  <c r="W367" i="1"/>
  <c r="AA367" i="1" s="1"/>
  <c r="Z366" i="1"/>
  <c r="W366" i="1"/>
  <c r="Z365" i="1"/>
  <c r="W365" i="1"/>
  <c r="X365" i="1" s="1"/>
  <c r="X377" i="1" s="1"/>
  <c r="Y364" i="1"/>
  <c r="V364" i="1"/>
  <c r="U364" i="1"/>
  <c r="T364" i="1"/>
  <c r="S364" i="1"/>
  <c r="R364" i="1"/>
  <c r="Q364" i="1"/>
  <c r="P364" i="1"/>
  <c r="O364" i="1"/>
  <c r="N364" i="1"/>
  <c r="M364" i="1"/>
  <c r="L364" i="1"/>
  <c r="K364" i="1"/>
  <c r="J364" i="1"/>
  <c r="Z363" i="1"/>
  <c r="W363" i="1"/>
  <c r="X363" i="1" s="1"/>
  <c r="Z362" i="1"/>
  <c r="W362" i="1"/>
  <c r="AA362" i="1" s="1"/>
  <c r="Z361" i="1"/>
  <c r="W361" i="1"/>
  <c r="X361" i="1" s="1"/>
  <c r="I361" i="1"/>
  <c r="Z360" i="1"/>
  <c r="W360" i="1"/>
  <c r="I360" i="1"/>
  <c r="Y359" i="1"/>
  <c r="V359" i="1"/>
  <c r="U359" i="1"/>
  <c r="T359" i="1"/>
  <c r="S359" i="1"/>
  <c r="R359" i="1"/>
  <c r="Q359" i="1"/>
  <c r="P359" i="1"/>
  <c r="O359" i="1"/>
  <c r="N359" i="1"/>
  <c r="M359" i="1"/>
  <c r="L359" i="1"/>
  <c r="K359" i="1"/>
  <c r="J359" i="1"/>
  <c r="Z358" i="1"/>
  <c r="W358" i="1"/>
  <c r="X358" i="1" s="1"/>
  <c r="Z357" i="1"/>
  <c r="W357" i="1"/>
  <c r="X357" i="1" s="1"/>
  <c r="Z356" i="1"/>
  <c r="W356" i="1"/>
  <c r="X356" i="1" s="1"/>
  <c r="Z355" i="1"/>
  <c r="W355" i="1"/>
  <c r="AA355" i="1" s="1"/>
  <c r="Z354" i="1"/>
  <c r="W354" i="1"/>
  <c r="X354" i="1" s="1"/>
  <c r="Z353" i="1"/>
  <c r="W353" i="1"/>
  <c r="AA353" i="1" s="1"/>
  <c r="Z352" i="1"/>
  <c r="W352" i="1"/>
  <c r="X352" i="1" s="1"/>
  <c r="Z351" i="1"/>
  <c r="W351" i="1"/>
  <c r="AA351" i="1" s="1"/>
  <c r="Z350" i="1"/>
  <c r="W350" i="1"/>
  <c r="Y349" i="1"/>
  <c r="Y379" i="1" s="1"/>
  <c r="V349" i="1"/>
  <c r="V379" i="1" s="1"/>
  <c r="U349" i="1"/>
  <c r="T349" i="1"/>
  <c r="S349" i="1"/>
  <c r="R349" i="1"/>
  <c r="Q349" i="1"/>
  <c r="P349" i="1"/>
  <c r="O349" i="1"/>
  <c r="N349" i="1"/>
  <c r="M349" i="1"/>
  <c r="L349" i="1"/>
  <c r="K349" i="1"/>
  <c r="J349" i="1"/>
  <c r="Z348" i="1"/>
  <c r="W348" i="1"/>
  <c r="Z347" i="1"/>
  <c r="W347" i="1"/>
  <c r="AA347" i="1" s="1"/>
  <c r="Z346" i="1"/>
  <c r="W346" i="1"/>
  <c r="Z345" i="1"/>
  <c r="W345" i="1"/>
  <c r="Z344" i="1"/>
  <c r="W344" i="1"/>
  <c r="Z343" i="1"/>
  <c r="W343" i="1"/>
  <c r="AA343" i="1" s="1"/>
  <c r="Z342" i="1"/>
  <c r="W342" i="1"/>
  <c r="Z341" i="1"/>
  <c r="W341" i="1"/>
  <c r="X341" i="1" s="1"/>
  <c r="Z340" i="1"/>
  <c r="W340" i="1"/>
  <c r="Z339" i="1"/>
  <c r="W339" i="1"/>
  <c r="AA339" i="1" s="1"/>
  <c r="Z338" i="1"/>
  <c r="W338" i="1"/>
  <c r="Z337" i="1"/>
  <c r="W337" i="1"/>
  <c r="Z336" i="1"/>
  <c r="W336" i="1"/>
  <c r="I336" i="1"/>
  <c r="Z335" i="1"/>
  <c r="W335" i="1"/>
  <c r="AA335" i="1" s="1"/>
  <c r="Z334" i="1"/>
  <c r="W334" i="1"/>
  <c r="AA334" i="1" s="1"/>
  <c r="I334" i="1"/>
  <c r="Z333" i="1"/>
  <c r="W333" i="1"/>
  <c r="X333" i="1" s="1"/>
  <c r="I333" i="1"/>
  <c r="Z332" i="1"/>
  <c r="W332" i="1"/>
  <c r="X332" i="1" s="1"/>
  <c r="Z331" i="1"/>
  <c r="W331" i="1"/>
  <c r="X331" i="1" s="1"/>
  <c r="I331" i="1"/>
  <c r="Z330" i="1"/>
  <c r="W330" i="1"/>
  <c r="AA330" i="1" s="1"/>
  <c r="I330" i="1"/>
  <c r="Z329" i="1"/>
  <c r="W329" i="1"/>
  <c r="AA329" i="1" s="1"/>
  <c r="Z328" i="1"/>
  <c r="W328" i="1"/>
  <c r="AA328" i="1" s="1"/>
  <c r="Z327" i="1"/>
  <c r="W327" i="1"/>
  <c r="X327" i="1" s="1"/>
  <c r="I327" i="1"/>
  <c r="Z326" i="1"/>
  <c r="W326" i="1"/>
  <c r="X326" i="1" s="1"/>
  <c r="Z325" i="1"/>
  <c r="W325" i="1"/>
  <c r="AA325" i="1" s="1"/>
  <c r="Z324" i="1"/>
  <c r="W324" i="1"/>
  <c r="X324" i="1" s="1"/>
  <c r="Z323" i="1"/>
  <c r="W323" i="1"/>
  <c r="X323" i="1" s="1"/>
  <c r="X349" i="1" s="1"/>
  <c r="AF322" i="1"/>
  <c r="Z321" i="1"/>
  <c r="W321" i="1"/>
  <c r="AA321" i="1" s="1"/>
  <c r="Y320" i="1"/>
  <c r="V320" i="1"/>
  <c r="U320" i="1"/>
  <c r="T320" i="1"/>
  <c r="S320" i="1"/>
  <c r="R320" i="1"/>
  <c r="Q320" i="1"/>
  <c r="P320" i="1"/>
  <c r="O320" i="1"/>
  <c r="N320" i="1"/>
  <c r="M320" i="1"/>
  <c r="L320" i="1"/>
  <c r="K320" i="1"/>
  <c r="J320" i="1"/>
  <c r="Z319" i="1"/>
  <c r="W319" i="1"/>
  <c r="AA319" i="1" s="1"/>
  <c r="Z318" i="1"/>
  <c r="W318" i="1"/>
  <c r="AA318" i="1" s="1"/>
  <c r="I318" i="1"/>
  <c r="Z317" i="1"/>
  <c r="W317" i="1"/>
  <c r="AA317" i="1" s="1"/>
  <c r="I317" i="1"/>
  <c r="Z316" i="1"/>
  <c r="W316" i="1"/>
  <c r="X316" i="1" s="1"/>
  <c r="I316" i="1"/>
  <c r="Z315" i="1"/>
  <c r="W315" i="1"/>
  <c r="AA315" i="1" s="1"/>
  <c r="Z314" i="1"/>
  <c r="W314" i="1"/>
  <c r="I314" i="1"/>
  <c r="Z313" i="1"/>
  <c r="W313" i="1"/>
  <c r="X313" i="1" s="1"/>
  <c r="X320" i="1" s="1"/>
  <c r="Y312" i="1"/>
  <c r="V312" i="1"/>
  <c r="T312" i="1"/>
  <c r="S312" i="1"/>
  <c r="R312" i="1"/>
  <c r="Q312" i="1"/>
  <c r="P312" i="1"/>
  <c r="O312" i="1"/>
  <c r="N312" i="1"/>
  <c r="M312" i="1"/>
  <c r="L312" i="1"/>
  <c r="K312" i="1"/>
  <c r="J312" i="1"/>
  <c r="Z311" i="1"/>
  <c r="W311" i="1"/>
  <c r="X311" i="1" s="1"/>
  <c r="Z310" i="1"/>
  <c r="W310" i="1"/>
  <c r="Z309" i="1"/>
  <c r="W309" i="1"/>
  <c r="X309" i="1" s="1"/>
  <c r="Z308" i="1"/>
  <c r="W308" i="1"/>
  <c r="X308" i="1" s="1"/>
  <c r="Z307" i="1"/>
  <c r="W307" i="1"/>
  <c r="X307" i="1" s="1"/>
  <c r="Z306" i="1"/>
  <c r="W306" i="1"/>
  <c r="X306" i="1" s="1"/>
  <c r="Z305" i="1"/>
  <c r="W305" i="1"/>
  <c r="X305" i="1" s="1"/>
  <c r="Z304" i="1"/>
  <c r="W304" i="1"/>
  <c r="X304" i="1" s="1"/>
  <c r="Z303" i="1"/>
  <c r="W303" i="1"/>
  <c r="X303" i="1" s="1"/>
  <c r="Z302" i="1"/>
  <c r="W302" i="1"/>
  <c r="Z301" i="1"/>
  <c r="U301" i="1"/>
  <c r="W301" i="1" s="1"/>
  <c r="X301" i="1" s="1"/>
  <c r="Z300" i="1"/>
  <c r="W300" i="1"/>
  <c r="Z299" i="1"/>
  <c r="W299" i="1"/>
  <c r="Z298" i="1"/>
  <c r="W298" i="1"/>
  <c r="AA298" i="1" s="1"/>
  <c r="Z297" i="1"/>
  <c r="W297" i="1"/>
  <c r="Z296" i="1"/>
  <c r="W296" i="1"/>
  <c r="X296" i="1" s="1"/>
  <c r="Z295" i="1"/>
  <c r="W295" i="1"/>
  <c r="Z294" i="1"/>
  <c r="W294" i="1"/>
  <c r="X294" i="1" s="1"/>
  <c r="X312" i="1" s="1"/>
  <c r="V293" i="1"/>
  <c r="U293" i="1"/>
  <c r="T293" i="1"/>
  <c r="S293" i="1"/>
  <c r="R293" i="1"/>
  <c r="Q293" i="1"/>
  <c r="P293" i="1"/>
  <c r="O293" i="1"/>
  <c r="N293" i="1"/>
  <c r="M293" i="1"/>
  <c r="L293" i="1"/>
  <c r="K293" i="1"/>
  <c r="J293" i="1"/>
  <c r="Z292" i="1"/>
  <c r="W292" i="1"/>
  <c r="Y292" i="1" s="1"/>
  <c r="Z291" i="1"/>
  <c r="W291" i="1"/>
  <c r="Y291" i="1" s="1"/>
  <c r="Z290" i="1"/>
  <c r="W290" i="1"/>
  <c r="Z289" i="1"/>
  <c r="W289" i="1"/>
  <c r="V288" i="1"/>
  <c r="U288" i="1"/>
  <c r="T288" i="1"/>
  <c r="S288" i="1"/>
  <c r="R288" i="1"/>
  <c r="Q288" i="1"/>
  <c r="P288" i="1"/>
  <c r="O288" i="1"/>
  <c r="N288" i="1"/>
  <c r="M288" i="1"/>
  <c r="L288" i="1"/>
  <c r="K288" i="1"/>
  <c r="J288" i="1"/>
  <c r="Z287" i="1"/>
  <c r="W287" i="1"/>
  <c r="X287" i="1" s="1"/>
  <c r="Z286" i="1"/>
  <c r="W286" i="1"/>
  <c r="X286" i="1" s="1"/>
  <c r="Z285" i="1"/>
  <c r="W285" i="1"/>
  <c r="Y285" i="1" s="1"/>
  <c r="Z284" i="1"/>
  <c r="W284" i="1"/>
  <c r="Z283" i="1"/>
  <c r="W283" i="1"/>
  <c r="Y283" i="1" s="1"/>
  <c r="Z282" i="1"/>
  <c r="W282" i="1"/>
  <c r="AA282" i="1" s="1"/>
  <c r="Z281" i="1"/>
  <c r="W281" i="1"/>
  <c r="Y281" i="1" s="1"/>
  <c r="Z280" i="1"/>
  <c r="W280" i="1"/>
  <c r="Z279" i="1"/>
  <c r="W279" i="1"/>
  <c r="AA279" i="1" s="1"/>
  <c r="Z278" i="1"/>
  <c r="W278" i="1"/>
  <c r="Y278" i="1" s="1"/>
  <c r="Z277" i="1"/>
  <c r="W277" i="1"/>
  <c r="AA277" i="1" s="1"/>
  <c r="V276" i="1"/>
  <c r="U276" i="1"/>
  <c r="T276" i="1"/>
  <c r="S276" i="1"/>
  <c r="R276" i="1"/>
  <c r="Q276" i="1"/>
  <c r="P276" i="1"/>
  <c r="O276" i="1"/>
  <c r="N276" i="1"/>
  <c r="M276" i="1"/>
  <c r="L276" i="1"/>
  <c r="K276" i="1"/>
  <c r="J276" i="1"/>
  <c r="Z275" i="1"/>
  <c r="W275" i="1"/>
  <c r="Y275" i="1" s="1"/>
  <c r="Z274" i="1"/>
  <c r="W274" i="1"/>
  <c r="AA274" i="1" s="1"/>
  <c r="Z273" i="1"/>
  <c r="W273" i="1"/>
  <c r="Z272" i="1"/>
  <c r="W272" i="1"/>
  <c r="Y272" i="1" s="1"/>
  <c r="Z271" i="1"/>
  <c r="W271" i="1"/>
  <c r="Y271" i="1" s="1"/>
  <c r="Z270" i="1"/>
  <c r="W270" i="1"/>
  <c r="X270" i="1" s="1"/>
  <c r="Z269" i="1"/>
  <c r="W269" i="1"/>
  <c r="X269" i="1" s="1"/>
  <c r="Z268" i="1"/>
  <c r="W268" i="1"/>
  <c r="Y268" i="1" s="1"/>
  <c r="Z267" i="1"/>
  <c r="S267" i="1"/>
  <c r="W267" i="1" s="1"/>
  <c r="Z266" i="1"/>
  <c r="W266" i="1"/>
  <c r="X266" i="1" s="1"/>
  <c r="Z265" i="1"/>
  <c r="W265" i="1"/>
  <c r="Z264" i="1"/>
  <c r="W264" i="1"/>
  <c r="Y264" i="1" s="1"/>
  <c r="Z263" i="1"/>
  <c r="W263" i="1"/>
  <c r="X263" i="1" s="1"/>
  <c r="X276" i="1" s="1"/>
  <c r="V262" i="1"/>
  <c r="U262" i="1"/>
  <c r="T262" i="1"/>
  <c r="S262" i="1"/>
  <c r="R262" i="1"/>
  <c r="Q262" i="1"/>
  <c r="P262" i="1"/>
  <c r="O262" i="1"/>
  <c r="N262" i="1"/>
  <c r="M262" i="1"/>
  <c r="L262" i="1"/>
  <c r="K262" i="1"/>
  <c r="J262" i="1"/>
  <c r="Z261" i="1"/>
  <c r="W261" i="1"/>
  <c r="AA261" i="1" s="1"/>
  <c r="Z260" i="1"/>
  <c r="W260" i="1"/>
  <c r="X260" i="1" s="1"/>
  <c r="Z259" i="1"/>
  <c r="W259" i="1"/>
  <c r="AA259" i="1" s="1"/>
  <c r="Z258" i="1"/>
  <c r="W258" i="1"/>
  <c r="AA258" i="1" s="1"/>
  <c r="Z257" i="1"/>
  <c r="W257" i="1"/>
  <c r="Z256" i="1"/>
  <c r="W256" i="1"/>
  <c r="Z255" i="1"/>
  <c r="W255" i="1"/>
  <c r="Z254" i="1"/>
  <c r="W254" i="1"/>
  <c r="X254" i="1" s="1"/>
  <c r="Z253" i="1"/>
  <c r="W253" i="1"/>
  <c r="X253" i="1" s="1"/>
  <c r="Z252" i="1"/>
  <c r="W252" i="1"/>
  <c r="Y252" i="1" s="1"/>
  <c r="Z251" i="1"/>
  <c r="W251" i="1"/>
  <c r="AA251" i="1" s="1"/>
  <c r="Z250" i="1"/>
  <c r="W250" i="1"/>
  <c r="AA250" i="1" s="1"/>
  <c r="Z249" i="1"/>
  <c r="W249" i="1"/>
  <c r="AA249" i="1" s="1"/>
  <c r="Z248" i="1"/>
  <c r="W248" i="1"/>
  <c r="AA248" i="1" s="1"/>
  <c r="V247" i="1"/>
  <c r="U247" i="1"/>
  <c r="T247" i="1"/>
  <c r="S247" i="1"/>
  <c r="R247" i="1"/>
  <c r="Q247" i="1"/>
  <c r="P247" i="1"/>
  <c r="O247" i="1"/>
  <c r="N247" i="1"/>
  <c r="M247" i="1"/>
  <c r="L247" i="1"/>
  <c r="K247" i="1"/>
  <c r="J247" i="1"/>
  <c r="Z246" i="1"/>
  <c r="W246" i="1"/>
  <c r="Z245" i="1"/>
  <c r="W245" i="1"/>
  <c r="Y245" i="1" s="1"/>
  <c r="Z244" i="1"/>
  <c r="W244" i="1"/>
  <c r="Z243" i="1"/>
  <c r="W243" i="1"/>
  <c r="X243" i="1" s="1"/>
  <c r="Z242" i="1"/>
  <c r="W242" i="1"/>
  <c r="X242" i="1" s="1"/>
  <c r="Z241" i="1"/>
  <c r="W241" i="1"/>
  <c r="Y241" i="1" s="1"/>
  <c r="Z240" i="1"/>
  <c r="W240" i="1"/>
  <c r="AA240" i="1" s="1"/>
  <c r="Z239" i="1"/>
  <c r="W239" i="1"/>
  <c r="AA239" i="1" s="1"/>
  <c r="Z238" i="1"/>
  <c r="W238" i="1"/>
  <c r="Y238" i="1" s="1"/>
  <c r="Y247" i="1" s="1"/>
  <c r="Y237" i="1"/>
  <c r="V237" i="1"/>
  <c r="T237" i="1"/>
  <c r="S237" i="1"/>
  <c r="R237" i="1"/>
  <c r="Q237" i="1"/>
  <c r="P237" i="1"/>
  <c r="O237" i="1"/>
  <c r="N237" i="1"/>
  <c r="M237" i="1"/>
  <c r="L237" i="1"/>
  <c r="K237" i="1"/>
  <c r="J237" i="1"/>
  <c r="Z236" i="1"/>
  <c r="W236" i="1"/>
  <c r="Z235" i="1"/>
  <c r="W235" i="1"/>
  <c r="AA235" i="1" s="1"/>
  <c r="Z234" i="1"/>
  <c r="W234" i="1"/>
  <c r="AA234" i="1" s="1"/>
  <c r="Z233" i="1"/>
  <c r="W233" i="1"/>
  <c r="AA233" i="1" s="1"/>
  <c r="Z232" i="1"/>
  <c r="W232" i="1"/>
  <c r="AA232" i="1" s="1"/>
  <c r="Z231" i="1"/>
  <c r="W231" i="1"/>
  <c r="AA231" i="1" s="1"/>
  <c r="Z230" i="1"/>
  <c r="W230" i="1"/>
  <c r="Z229" i="1"/>
  <c r="W229" i="1"/>
  <c r="AA229" i="1" s="1"/>
  <c r="Z228" i="1"/>
  <c r="W228" i="1"/>
  <c r="Z227" i="1"/>
  <c r="W227" i="1"/>
  <c r="AA227" i="1" s="1"/>
  <c r="Z226" i="1"/>
  <c r="U226" i="1"/>
  <c r="U237" i="1" s="1"/>
  <c r="Z225" i="1"/>
  <c r="W225" i="1"/>
  <c r="X225" i="1" s="1"/>
  <c r="Z224" i="1"/>
  <c r="W224" i="1"/>
  <c r="X224" i="1" s="1"/>
  <c r="Z223" i="1"/>
  <c r="W223" i="1"/>
  <c r="AA223" i="1" s="1"/>
  <c r="Z222" i="1"/>
  <c r="W222" i="1"/>
  <c r="AA222" i="1" s="1"/>
  <c r="Z221" i="1"/>
  <c r="W221" i="1"/>
  <c r="AA221" i="1" s="1"/>
  <c r="Z220" i="1"/>
  <c r="W220" i="1"/>
  <c r="X220" i="1" s="1"/>
  <c r="Z219" i="1"/>
  <c r="W219" i="1"/>
  <c r="X219" i="1" s="1"/>
  <c r="Z218" i="1"/>
  <c r="W218" i="1"/>
  <c r="X218" i="1" s="1"/>
  <c r="I218" i="1"/>
  <c r="Z217" i="1"/>
  <c r="W217" i="1"/>
  <c r="X217" i="1" s="1"/>
  <c r="X237" i="1" s="1"/>
  <c r="Z215" i="1"/>
  <c r="W215" i="1"/>
  <c r="X215" i="1" s="1"/>
  <c r="Y214" i="1"/>
  <c r="V214" i="1"/>
  <c r="U214" i="1"/>
  <c r="T214" i="1"/>
  <c r="S214" i="1"/>
  <c r="R214" i="1"/>
  <c r="Q214" i="1"/>
  <c r="P214" i="1"/>
  <c r="O214" i="1"/>
  <c r="N214" i="1"/>
  <c r="M214" i="1"/>
  <c r="L214" i="1"/>
  <c r="K214" i="1"/>
  <c r="J214" i="1"/>
  <c r="Z213" i="1"/>
  <c r="W213" i="1"/>
  <c r="X213" i="1" s="1"/>
  <c r="Z212" i="1"/>
  <c r="W212" i="1"/>
  <c r="AA212" i="1" s="1"/>
  <c r="I212" i="1"/>
  <c r="Z211" i="1"/>
  <c r="W211" i="1"/>
  <c r="X211" i="1" s="1"/>
  <c r="I211" i="1"/>
  <c r="Z210" i="1"/>
  <c r="W210" i="1"/>
  <c r="AA210" i="1" s="1"/>
  <c r="Z209" i="1"/>
  <c r="W209" i="1"/>
  <c r="X209" i="1" s="1"/>
  <c r="Z208" i="1"/>
  <c r="W208" i="1"/>
  <c r="Z207" i="1"/>
  <c r="W207" i="1"/>
  <c r="Y206" i="1"/>
  <c r="V206" i="1"/>
  <c r="U206" i="1"/>
  <c r="T206" i="1"/>
  <c r="S206" i="1"/>
  <c r="R206" i="1"/>
  <c r="Q206" i="1"/>
  <c r="P206" i="1"/>
  <c r="O206" i="1"/>
  <c r="N206" i="1"/>
  <c r="M206" i="1"/>
  <c r="L206" i="1"/>
  <c r="K206" i="1"/>
  <c r="J206" i="1"/>
  <c r="Z205" i="1"/>
  <c r="W205" i="1"/>
  <c r="AA205" i="1" s="1"/>
  <c r="Z204" i="1"/>
  <c r="W204" i="1"/>
  <c r="X204" i="1" s="1"/>
  <c r="Z203" i="1"/>
  <c r="W203" i="1"/>
  <c r="AA203" i="1" s="1"/>
  <c r="Z202" i="1"/>
  <c r="W202" i="1"/>
  <c r="AA202" i="1" s="1"/>
  <c r="Z201" i="1"/>
  <c r="W201" i="1"/>
  <c r="AA201" i="1" s="1"/>
  <c r="Z200" i="1"/>
  <c r="W200" i="1"/>
  <c r="X200" i="1" s="1"/>
  <c r="Z199" i="1"/>
  <c r="W199" i="1"/>
  <c r="AA199" i="1" s="1"/>
  <c r="Z198" i="1"/>
  <c r="W198" i="1"/>
  <c r="X198" i="1" s="1"/>
  <c r="Z197" i="1"/>
  <c r="W197" i="1"/>
  <c r="AA197" i="1" s="1"/>
  <c r="Z196" i="1"/>
  <c r="W196" i="1"/>
  <c r="X196" i="1" s="1"/>
  <c r="X206" i="1" s="1"/>
  <c r="Y195" i="1"/>
  <c r="V195" i="1"/>
  <c r="U195" i="1"/>
  <c r="T195" i="1"/>
  <c r="S195" i="1"/>
  <c r="R195" i="1"/>
  <c r="Q195" i="1"/>
  <c r="P195" i="1"/>
  <c r="O195" i="1"/>
  <c r="N195" i="1"/>
  <c r="M195" i="1"/>
  <c r="L195" i="1"/>
  <c r="K195" i="1"/>
  <c r="J195" i="1"/>
  <c r="Z194" i="1"/>
  <c r="W194" i="1"/>
  <c r="AA194" i="1" s="1"/>
  <c r="Z193" i="1"/>
  <c r="W193" i="1"/>
  <c r="AA193" i="1" s="1"/>
  <c r="Z192" i="1"/>
  <c r="W192" i="1"/>
  <c r="AA192" i="1" s="1"/>
  <c r="Z191" i="1"/>
  <c r="W191" i="1"/>
  <c r="AA191" i="1" s="1"/>
  <c r="Z190" i="1"/>
  <c r="W190" i="1"/>
  <c r="X190" i="1" s="1"/>
  <c r="Z189" i="1"/>
  <c r="W189" i="1"/>
  <c r="AA189" i="1" s="1"/>
  <c r="Z188" i="1"/>
  <c r="W188" i="1"/>
  <c r="X188" i="1" s="1"/>
  <c r="Z187" i="1"/>
  <c r="W187" i="1"/>
  <c r="AA187" i="1" s="1"/>
  <c r="Z186" i="1"/>
  <c r="W186" i="1"/>
  <c r="AA186" i="1" s="1"/>
  <c r="Z185" i="1"/>
  <c r="W185" i="1"/>
  <c r="AA185" i="1" s="1"/>
  <c r="Z184" i="1"/>
  <c r="W184" i="1"/>
  <c r="AA184" i="1" s="1"/>
  <c r="Z183" i="1"/>
  <c r="W183" i="1"/>
  <c r="AA183" i="1" s="1"/>
  <c r="Z182" i="1"/>
  <c r="W182" i="1"/>
  <c r="X182" i="1" s="1"/>
  <c r="Z181" i="1"/>
  <c r="W181" i="1"/>
  <c r="Z180" i="1"/>
  <c r="W180" i="1"/>
  <c r="X180" i="1" s="1"/>
  <c r="Z179" i="1"/>
  <c r="W179" i="1"/>
  <c r="AA179" i="1" s="1"/>
  <c r="AF178" i="1"/>
  <c r="AF216" i="1" s="1"/>
  <c r="Y178" i="1"/>
  <c r="V178" i="1"/>
  <c r="U178" i="1"/>
  <c r="T178" i="1"/>
  <c r="S178" i="1"/>
  <c r="R178" i="1"/>
  <c r="Q178" i="1"/>
  <c r="P178" i="1"/>
  <c r="O178" i="1"/>
  <c r="N178" i="1"/>
  <c r="M178" i="1"/>
  <c r="L178" i="1"/>
  <c r="K178" i="1"/>
  <c r="J178" i="1"/>
  <c r="Z177" i="1"/>
  <c r="W177" i="1"/>
  <c r="X177" i="1" s="1"/>
  <c r="Z176" i="1"/>
  <c r="W176" i="1"/>
  <c r="Z175" i="1"/>
  <c r="W175" i="1"/>
  <c r="X175" i="1" s="1"/>
  <c r="Z174" i="1"/>
  <c r="W174" i="1"/>
  <c r="X174" i="1" s="1"/>
  <c r="X178" i="1" s="1"/>
  <c r="Y173" i="1"/>
  <c r="V173" i="1"/>
  <c r="U173" i="1"/>
  <c r="T173" i="1"/>
  <c r="S173" i="1"/>
  <c r="R173" i="1"/>
  <c r="Q173" i="1"/>
  <c r="P173" i="1"/>
  <c r="O173" i="1"/>
  <c r="N173" i="1"/>
  <c r="M173" i="1"/>
  <c r="L173" i="1"/>
  <c r="K173" i="1"/>
  <c r="J173" i="1"/>
  <c r="Z172" i="1"/>
  <c r="W172" i="1"/>
  <c r="AA172" i="1" s="1"/>
  <c r="Z171" i="1"/>
  <c r="W171" i="1"/>
  <c r="Z170" i="1"/>
  <c r="W170" i="1"/>
  <c r="AA170" i="1" s="1"/>
  <c r="Z169" i="1"/>
  <c r="W169" i="1"/>
  <c r="I169" i="1"/>
  <c r="Z168" i="1"/>
  <c r="W168" i="1"/>
  <c r="AA168" i="1" s="1"/>
  <c r="I168" i="1"/>
  <c r="Z167" i="1"/>
  <c r="W167" i="1"/>
  <c r="AA167" i="1" s="1"/>
  <c r="Y166" i="1"/>
  <c r="V166" i="1"/>
  <c r="U166" i="1"/>
  <c r="T166" i="1"/>
  <c r="S166" i="1"/>
  <c r="R166" i="1"/>
  <c r="Q166" i="1"/>
  <c r="P166" i="1"/>
  <c r="O166" i="1"/>
  <c r="N166" i="1"/>
  <c r="M166" i="1"/>
  <c r="L166" i="1"/>
  <c r="K166" i="1"/>
  <c r="J166" i="1"/>
  <c r="Z165" i="1"/>
  <c r="W165" i="1"/>
  <c r="AA165" i="1" s="1"/>
  <c r="Z164" i="1"/>
  <c r="W164" i="1"/>
  <c r="Z163" i="1"/>
  <c r="W163" i="1"/>
  <c r="AA163" i="1" s="1"/>
  <c r="Z162" i="1"/>
  <c r="W162" i="1"/>
  <c r="Y161" i="1"/>
  <c r="V161" i="1"/>
  <c r="U161" i="1"/>
  <c r="T161" i="1"/>
  <c r="S161" i="1"/>
  <c r="R161" i="1"/>
  <c r="Q161" i="1"/>
  <c r="P161" i="1"/>
  <c r="O161" i="1"/>
  <c r="N161" i="1"/>
  <c r="M161" i="1"/>
  <c r="L161" i="1"/>
  <c r="K161" i="1"/>
  <c r="J161" i="1"/>
  <c r="Z160" i="1"/>
  <c r="W160" i="1"/>
  <c r="Z159" i="1"/>
  <c r="W159" i="1"/>
  <c r="X159" i="1" s="1"/>
  <c r="Z158" i="1"/>
  <c r="W158" i="1"/>
  <c r="Z157" i="1"/>
  <c r="W157" i="1"/>
  <c r="X157" i="1" s="1"/>
  <c r="I157" i="1"/>
  <c r="Z156" i="1"/>
  <c r="W156" i="1"/>
  <c r="AA156" i="1" s="1"/>
  <c r="Y155" i="1"/>
  <c r="V155" i="1"/>
  <c r="U155" i="1"/>
  <c r="T155" i="1"/>
  <c r="S155" i="1"/>
  <c r="R155" i="1"/>
  <c r="Q155" i="1"/>
  <c r="P155" i="1"/>
  <c r="O155" i="1"/>
  <c r="N155" i="1"/>
  <c r="M155" i="1"/>
  <c r="L155" i="1"/>
  <c r="K155" i="1"/>
  <c r="J155" i="1"/>
  <c r="Z154" i="1"/>
  <c r="W154" i="1"/>
  <c r="AA154" i="1" s="1"/>
  <c r="W153" i="1"/>
  <c r="AA153" i="1" s="1"/>
  <c r="Z152" i="1"/>
  <c r="W152" i="1"/>
  <c r="AA152" i="1" s="1"/>
  <c r="Z151" i="1"/>
  <c r="W151" i="1"/>
  <c r="AA151" i="1" s="1"/>
  <c r="Z150" i="1"/>
  <c r="W150" i="1"/>
  <c r="Z149" i="1"/>
  <c r="W149" i="1"/>
  <c r="AA149" i="1" s="1"/>
  <c r="I149" i="1"/>
  <c r="Y148" i="1"/>
  <c r="V148" i="1"/>
  <c r="U148" i="1"/>
  <c r="T148" i="1"/>
  <c r="S148" i="1"/>
  <c r="R148" i="1"/>
  <c r="Q148" i="1"/>
  <c r="P148" i="1"/>
  <c r="O148" i="1"/>
  <c r="N148" i="1"/>
  <c r="M148" i="1"/>
  <c r="L148" i="1"/>
  <c r="K148" i="1"/>
  <c r="J148" i="1"/>
  <c r="Z147" i="1"/>
  <c r="W147" i="1"/>
  <c r="I147" i="1"/>
  <c r="Z146" i="1"/>
  <c r="W146" i="1"/>
  <c r="X146" i="1" s="1"/>
  <c r="Z145" i="1"/>
  <c r="W145" i="1"/>
  <c r="AA145" i="1" s="1"/>
  <c r="Z144" i="1"/>
  <c r="W144" i="1"/>
  <c r="X144" i="1" s="1"/>
  <c r="I144" i="1"/>
  <c r="Z143" i="1"/>
  <c r="W143" i="1"/>
  <c r="X143" i="1" s="1"/>
  <c r="X148" i="1" s="1"/>
  <c r="Y142" i="1"/>
  <c r="V142" i="1"/>
  <c r="U142" i="1"/>
  <c r="T142" i="1"/>
  <c r="S142" i="1"/>
  <c r="R142" i="1"/>
  <c r="Q142" i="1"/>
  <c r="P142" i="1"/>
  <c r="O142" i="1"/>
  <c r="N142" i="1"/>
  <c r="M142" i="1"/>
  <c r="L142" i="1"/>
  <c r="K142" i="1"/>
  <c r="J142" i="1"/>
  <c r="Z141" i="1"/>
  <c r="W141" i="1"/>
  <c r="X141" i="1" s="1"/>
  <c r="Z140" i="1"/>
  <c r="W140" i="1"/>
  <c r="Z139" i="1"/>
  <c r="W139" i="1"/>
  <c r="X139" i="1" s="1"/>
  <c r="I139" i="1"/>
  <c r="Z138" i="1"/>
  <c r="W138" i="1"/>
  <c r="Y137" i="1"/>
  <c r="V137" i="1"/>
  <c r="U137" i="1"/>
  <c r="T137" i="1"/>
  <c r="S137" i="1"/>
  <c r="R137" i="1"/>
  <c r="Q137" i="1"/>
  <c r="P137" i="1"/>
  <c r="O137" i="1"/>
  <c r="N137" i="1"/>
  <c r="M137" i="1"/>
  <c r="L137" i="1"/>
  <c r="K137" i="1"/>
  <c r="J137" i="1"/>
  <c r="Z136" i="1"/>
  <c r="W136" i="1"/>
  <c r="AA136" i="1" s="1"/>
  <c r="Z135" i="1"/>
  <c r="W135" i="1"/>
  <c r="AA135" i="1" s="1"/>
  <c r="I135" i="1"/>
  <c r="Z134" i="1"/>
  <c r="W134" i="1"/>
  <c r="X134" i="1" s="1"/>
  <c r="Z133" i="1"/>
  <c r="W133" i="1"/>
  <c r="Z132" i="1"/>
  <c r="W132" i="1"/>
  <c r="X132" i="1" s="1"/>
  <c r="Z131" i="1"/>
  <c r="W131" i="1"/>
  <c r="AA131" i="1" s="1"/>
  <c r="Y130" i="1"/>
  <c r="V130" i="1"/>
  <c r="U130" i="1"/>
  <c r="T130" i="1"/>
  <c r="S130" i="1"/>
  <c r="R130" i="1"/>
  <c r="Q130" i="1"/>
  <c r="P130" i="1"/>
  <c r="O130" i="1"/>
  <c r="N130" i="1"/>
  <c r="M130" i="1"/>
  <c r="L130" i="1"/>
  <c r="K130" i="1"/>
  <c r="J130" i="1"/>
  <c r="Z129" i="1"/>
  <c r="W129" i="1"/>
  <c r="AA129" i="1" s="1"/>
  <c r="Z128" i="1"/>
  <c r="W128" i="1"/>
  <c r="Z127" i="1"/>
  <c r="W127" i="1"/>
  <c r="AA127" i="1" s="1"/>
  <c r="Z126" i="1"/>
  <c r="W126" i="1"/>
  <c r="I126" i="1"/>
  <c r="Z125" i="1"/>
  <c r="W125" i="1"/>
  <c r="X125" i="1" s="1"/>
  <c r="X130" i="1" s="1"/>
  <c r="Y124" i="1"/>
  <c r="V124" i="1"/>
  <c r="U124" i="1"/>
  <c r="T124" i="1"/>
  <c r="S124" i="1"/>
  <c r="R124" i="1"/>
  <c r="Q124" i="1"/>
  <c r="P124" i="1"/>
  <c r="O124" i="1"/>
  <c r="N124" i="1"/>
  <c r="M124" i="1"/>
  <c r="L124" i="1"/>
  <c r="K124" i="1"/>
  <c r="J124" i="1"/>
  <c r="Z123" i="1"/>
  <c r="W123" i="1"/>
  <c r="AA123" i="1" s="1"/>
  <c r="Z122" i="1"/>
  <c r="W122" i="1"/>
  <c r="AA122" i="1" s="1"/>
  <c r="Z121" i="1"/>
  <c r="W121" i="1"/>
  <c r="AA121" i="1" s="1"/>
  <c r="Z120" i="1"/>
  <c r="W120" i="1"/>
  <c r="AA120" i="1" s="1"/>
  <c r="I120" i="1"/>
  <c r="Z119" i="1"/>
  <c r="W119" i="1"/>
  <c r="I119" i="1"/>
  <c r="Y118" i="1"/>
  <c r="V118" i="1"/>
  <c r="U118" i="1"/>
  <c r="T118" i="1"/>
  <c r="S118" i="1"/>
  <c r="R118" i="1"/>
  <c r="Q118" i="1"/>
  <c r="P118" i="1"/>
  <c r="O118" i="1"/>
  <c r="N118" i="1"/>
  <c r="M118" i="1"/>
  <c r="L118" i="1"/>
  <c r="K118" i="1"/>
  <c r="J118" i="1"/>
  <c r="Z117" i="1"/>
  <c r="W117" i="1"/>
  <c r="AA117" i="1" s="1"/>
  <c r="Z116" i="1"/>
  <c r="W116" i="1"/>
  <c r="AA116" i="1" s="1"/>
  <c r="Z115" i="1"/>
  <c r="W115" i="1"/>
  <c r="AA115" i="1" s="1"/>
  <c r="I115" i="1"/>
  <c r="Z114" i="1"/>
  <c r="W114" i="1"/>
  <c r="I114" i="1"/>
  <c r="Z113" i="1"/>
  <c r="W113" i="1"/>
  <c r="AA113" i="1" s="1"/>
  <c r="I113" i="1"/>
  <c r="Z112" i="1"/>
  <c r="W112" i="1"/>
  <c r="AA112" i="1" s="1"/>
  <c r="Y111" i="1"/>
  <c r="V111" i="1"/>
  <c r="U111" i="1"/>
  <c r="T111" i="1"/>
  <c r="S111" i="1"/>
  <c r="R111" i="1"/>
  <c r="Q111" i="1"/>
  <c r="P111" i="1"/>
  <c r="O111" i="1"/>
  <c r="N111" i="1"/>
  <c r="M111" i="1"/>
  <c r="L111" i="1"/>
  <c r="K111" i="1"/>
  <c r="J111" i="1"/>
  <c r="Z110" i="1"/>
  <c r="W110" i="1"/>
  <c r="AA110" i="1" s="1"/>
  <c r="Z109" i="1"/>
  <c r="W109" i="1"/>
  <c r="Z108" i="1"/>
  <c r="W108" i="1"/>
  <c r="AA108" i="1" s="1"/>
  <c r="Z107" i="1"/>
  <c r="W107" i="1"/>
  <c r="Y106" i="1"/>
  <c r="V106" i="1"/>
  <c r="U106" i="1"/>
  <c r="T106" i="1"/>
  <c r="S106" i="1"/>
  <c r="R106" i="1"/>
  <c r="Q106" i="1"/>
  <c r="P106" i="1"/>
  <c r="O106" i="1"/>
  <c r="N106" i="1"/>
  <c r="M106" i="1"/>
  <c r="L106" i="1"/>
  <c r="K106" i="1"/>
  <c r="J106" i="1"/>
  <c r="Z105" i="1"/>
  <c r="W105" i="1"/>
  <c r="X105" i="1" s="1"/>
  <c r="Z104" i="1"/>
  <c r="W104" i="1"/>
  <c r="AA104" i="1" s="1"/>
  <c r="Z103" i="1"/>
  <c r="W103" i="1"/>
  <c r="AA103" i="1" s="1"/>
  <c r="Z102" i="1"/>
  <c r="W102" i="1"/>
  <c r="AA102" i="1" s="1"/>
  <c r="Z101" i="1"/>
  <c r="W101" i="1"/>
  <c r="X101" i="1" s="1"/>
  <c r="Z100" i="1"/>
  <c r="W100" i="1"/>
  <c r="AA100" i="1" s="1"/>
  <c r="Z99" i="1"/>
  <c r="W99" i="1"/>
  <c r="AA99" i="1" s="1"/>
  <c r="Z98" i="1"/>
  <c r="W98" i="1"/>
  <c r="AA98" i="1" s="1"/>
  <c r="Z97" i="1"/>
  <c r="W97" i="1"/>
  <c r="X97" i="1" s="1"/>
  <c r="Z96" i="1"/>
  <c r="Y96" i="1"/>
  <c r="W96" i="1"/>
  <c r="V95" i="1"/>
  <c r="U95" i="1"/>
  <c r="T95" i="1"/>
  <c r="S95" i="1"/>
  <c r="R95" i="1"/>
  <c r="Q95" i="1"/>
  <c r="P95" i="1"/>
  <c r="O95" i="1"/>
  <c r="N95" i="1"/>
  <c r="M95" i="1"/>
  <c r="L95" i="1"/>
  <c r="K95" i="1"/>
  <c r="J95" i="1"/>
  <c r="Z94" i="1"/>
  <c r="W94" i="1"/>
  <c r="AA94" i="1" s="1"/>
  <c r="Z93" i="1"/>
  <c r="W93" i="1"/>
  <c r="AA93" i="1" s="1"/>
  <c r="Z92" i="1"/>
  <c r="W92" i="1"/>
  <c r="AA92" i="1" s="1"/>
  <c r="Z91" i="1"/>
  <c r="Z90" i="1"/>
  <c r="W90" i="1"/>
  <c r="AA90" i="1" s="1"/>
  <c r="Z89" i="1"/>
  <c r="W89" i="1"/>
  <c r="AA89" i="1" s="1"/>
  <c r="Z88" i="1"/>
  <c r="W88" i="1"/>
  <c r="AA88" i="1" s="1"/>
  <c r="Z87" i="1"/>
  <c r="W87" i="1"/>
  <c r="AA87" i="1" s="1"/>
  <c r="Z86" i="1"/>
  <c r="W86" i="1"/>
  <c r="AA86" i="1" s="1"/>
  <c r="Z85" i="1"/>
  <c r="W85" i="1"/>
  <c r="V84" i="1"/>
  <c r="U84" i="1"/>
  <c r="T84" i="1"/>
  <c r="S84" i="1"/>
  <c r="R84" i="1"/>
  <c r="Q84" i="1"/>
  <c r="P84" i="1"/>
  <c r="O84" i="1"/>
  <c r="N84" i="1"/>
  <c r="M84" i="1"/>
  <c r="L84" i="1"/>
  <c r="K84" i="1"/>
  <c r="J84" i="1"/>
  <c r="Z83" i="1"/>
  <c r="W83" i="1"/>
  <c r="AA83" i="1" s="1"/>
  <c r="Z82" i="1"/>
  <c r="W82" i="1"/>
  <c r="AA82" i="1" s="1"/>
  <c r="Z81" i="1"/>
  <c r="W81" i="1"/>
  <c r="AA81" i="1" s="1"/>
  <c r="Z80" i="1"/>
  <c r="W80" i="1"/>
  <c r="AA80" i="1" s="1"/>
  <c r="Z79" i="1"/>
  <c r="S79" i="1"/>
  <c r="W79" i="1" s="1"/>
  <c r="AA79" i="1" s="1"/>
  <c r="Z78" i="1"/>
  <c r="W78" i="1"/>
  <c r="X78" i="1" s="1"/>
  <c r="Z77" i="1"/>
  <c r="W77" i="1"/>
  <c r="AA77" i="1" s="1"/>
  <c r="Z76" i="1"/>
  <c r="Y76" i="1"/>
  <c r="Y84" i="1" s="1"/>
  <c r="W76" i="1"/>
  <c r="AA76" i="1" s="1"/>
  <c r="Z75" i="1"/>
  <c r="W75" i="1"/>
  <c r="AA75" i="1" s="1"/>
  <c r="Z74" i="1"/>
  <c r="W74" i="1"/>
  <c r="AA74" i="1" s="1"/>
  <c r="Z73" i="1"/>
  <c r="W73" i="1"/>
  <c r="AA73" i="1" s="1"/>
  <c r="Z72" i="1"/>
  <c r="W72" i="1"/>
  <c r="AA72" i="1" s="1"/>
  <c r="Z71" i="1"/>
  <c r="W71" i="1"/>
  <c r="X71" i="1" s="1"/>
  <c r="Z70" i="1"/>
  <c r="W70" i="1"/>
  <c r="Y69" i="1"/>
  <c r="V69" i="1"/>
  <c r="U69" i="1"/>
  <c r="T69" i="1"/>
  <c r="S69" i="1"/>
  <c r="R69" i="1"/>
  <c r="Q69" i="1"/>
  <c r="P69" i="1"/>
  <c r="O69" i="1"/>
  <c r="N69" i="1"/>
  <c r="M69" i="1"/>
  <c r="L69" i="1"/>
  <c r="K69" i="1"/>
  <c r="J69" i="1"/>
  <c r="Z68" i="1"/>
  <c r="W68" i="1"/>
  <c r="AA68" i="1" s="1"/>
  <c r="Z67" i="1"/>
  <c r="W67" i="1"/>
  <c r="AA67" i="1" s="1"/>
  <c r="Z66" i="1"/>
  <c r="W66" i="1"/>
  <c r="AA66" i="1" s="1"/>
  <c r="Z65" i="1"/>
  <c r="W65" i="1"/>
  <c r="AA65" i="1" s="1"/>
  <c r="I65" i="1"/>
  <c r="Z64" i="1"/>
  <c r="W64" i="1"/>
  <c r="X64" i="1" s="1"/>
  <c r="I64" i="1"/>
  <c r="Z63" i="1"/>
  <c r="W63" i="1"/>
  <c r="I63" i="1"/>
  <c r="Z62" i="1"/>
  <c r="W62" i="1"/>
  <c r="AA62" i="1" s="1"/>
  <c r="Y61" i="1"/>
  <c r="V61" i="1"/>
  <c r="U61" i="1"/>
  <c r="T61" i="1"/>
  <c r="S61" i="1"/>
  <c r="R61" i="1"/>
  <c r="Q61" i="1"/>
  <c r="P61" i="1"/>
  <c r="O61" i="1"/>
  <c r="N61" i="1"/>
  <c r="M61" i="1"/>
  <c r="L61" i="1"/>
  <c r="K61" i="1"/>
  <c r="J61" i="1"/>
  <c r="Z60" i="1"/>
  <c r="W60" i="1"/>
  <c r="X60" i="1" s="1"/>
  <c r="Z59" i="1"/>
  <c r="W59" i="1"/>
  <c r="AA59" i="1" s="1"/>
  <c r="I59" i="1"/>
  <c r="Z58" i="1"/>
  <c r="W58" i="1"/>
  <c r="AA58" i="1" s="1"/>
  <c r="Z57" i="1"/>
  <c r="W57" i="1"/>
  <c r="AA57" i="1" s="1"/>
  <c r="I57" i="1"/>
  <c r="Z56" i="1"/>
  <c r="W56" i="1"/>
  <c r="Z55" i="1"/>
  <c r="W55" i="1"/>
  <c r="X55" i="1" s="1"/>
  <c r="Z54" i="1"/>
  <c r="W54" i="1"/>
  <c r="Y53" i="1"/>
  <c r="V53" i="1"/>
  <c r="U53" i="1"/>
  <c r="T53" i="1"/>
  <c r="R53" i="1"/>
  <c r="Q53" i="1"/>
  <c r="P53" i="1"/>
  <c r="O53" i="1"/>
  <c r="N53" i="1"/>
  <c r="M53" i="1"/>
  <c r="L53" i="1"/>
  <c r="K53" i="1"/>
  <c r="J53" i="1"/>
  <c r="Z52" i="1"/>
  <c r="W52" i="1"/>
  <c r="AA52" i="1" s="1"/>
  <c r="Z51" i="1"/>
  <c r="W51" i="1"/>
  <c r="X51" i="1" s="1"/>
  <c r="Z50" i="1"/>
  <c r="W50" i="1"/>
  <c r="AA50" i="1" s="1"/>
  <c r="Z49" i="1"/>
  <c r="W49" i="1"/>
  <c r="X49" i="1" s="1"/>
  <c r="Z48" i="1"/>
  <c r="W48" i="1"/>
  <c r="AA48" i="1" s="1"/>
  <c r="Z47" i="1"/>
  <c r="W47" i="1"/>
  <c r="AA47" i="1" s="1"/>
  <c r="Z46" i="1"/>
  <c r="W46" i="1"/>
  <c r="X46" i="1" s="1"/>
  <c r="Z45" i="1"/>
  <c r="S45" i="1"/>
  <c r="S53" i="1" s="1"/>
  <c r="Z44" i="1"/>
  <c r="W44" i="1"/>
  <c r="AA44" i="1" s="1"/>
  <c r="Z43" i="1"/>
  <c r="W43" i="1"/>
  <c r="AA43" i="1" s="1"/>
  <c r="Z42" i="1"/>
  <c r="W42" i="1"/>
  <c r="AA42" i="1" s="1"/>
  <c r="Z41" i="1"/>
  <c r="W41" i="1"/>
  <c r="AA41" i="1" s="1"/>
  <c r="Z40" i="1"/>
  <c r="W40" i="1"/>
  <c r="AA40" i="1" s="1"/>
  <c r="Y39" i="1"/>
  <c r="V39" i="1"/>
  <c r="U39" i="1"/>
  <c r="T39" i="1"/>
  <c r="S39" i="1"/>
  <c r="R39" i="1"/>
  <c r="Q39" i="1"/>
  <c r="P39" i="1"/>
  <c r="O39" i="1"/>
  <c r="N39" i="1"/>
  <c r="M39" i="1"/>
  <c r="L39" i="1"/>
  <c r="K39" i="1"/>
  <c r="J39" i="1"/>
  <c r="Z38" i="1"/>
  <c r="W38" i="1"/>
  <c r="AA38" i="1" s="1"/>
  <c r="Z37" i="1"/>
  <c r="W37" i="1"/>
  <c r="Z36" i="1"/>
  <c r="W36" i="1"/>
  <c r="AA36" i="1" s="1"/>
  <c r="Z35" i="1"/>
  <c r="W35" i="1"/>
  <c r="AA35" i="1" s="1"/>
  <c r="V34" i="1"/>
  <c r="U34" i="1"/>
  <c r="T34" i="1"/>
  <c r="R34" i="1"/>
  <c r="Q34" i="1"/>
  <c r="P34" i="1"/>
  <c r="O34" i="1"/>
  <c r="N34" i="1"/>
  <c r="M34" i="1"/>
  <c r="L34" i="1"/>
  <c r="K34" i="1"/>
  <c r="J34" i="1"/>
  <c r="Z33" i="1"/>
  <c r="W33" i="1"/>
  <c r="Y33" i="1" s="1"/>
  <c r="Z32" i="1"/>
  <c r="W32" i="1"/>
  <c r="AA32" i="1" s="1"/>
  <c r="Z31" i="1"/>
  <c r="W31" i="1"/>
  <c r="AA31" i="1" s="1"/>
  <c r="Z30" i="1"/>
  <c r="W30" i="1"/>
  <c r="AA30" i="1" s="1"/>
  <c r="Z29" i="1"/>
  <c r="W29" i="1"/>
  <c r="AA29" i="1" s="1"/>
  <c r="Z28" i="1"/>
  <c r="S28" i="1"/>
  <c r="W28" i="1" s="1"/>
  <c r="Y28" i="1" s="1"/>
  <c r="Z27" i="1"/>
  <c r="W27" i="1"/>
  <c r="AA27" i="1" s="1"/>
  <c r="Z26" i="1"/>
  <c r="W26" i="1"/>
  <c r="X26" i="1" s="1"/>
  <c r="Z25" i="1"/>
  <c r="W25" i="1"/>
  <c r="Y25" i="1" s="1"/>
  <c r="Z24" i="1"/>
  <c r="W24" i="1"/>
  <c r="AA24" i="1" s="1"/>
  <c r="Z23" i="1"/>
  <c r="W23" i="1"/>
  <c r="Y23" i="1" s="1"/>
  <c r="Z22" i="1"/>
  <c r="W22" i="1"/>
  <c r="Y22" i="1" s="1"/>
  <c r="Z21" i="1"/>
  <c r="W21" i="1"/>
  <c r="AA21" i="1" s="1"/>
  <c r="I21" i="1"/>
  <c r="Z20" i="1"/>
  <c r="W20" i="1"/>
  <c r="AA20" i="1" s="1"/>
  <c r="Z19" i="1"/>
  <c r="W19" i="1"/>
  <c r="Y19" i="1" s="1"/>
  <c r="Z18" i="1"/>
  <c r="S18" i="1"/>
  <c r="I18" i="1"/>
  <c r="Z17" i="1"/>
  <c r="W17" i="1"/>
  <c r="AA17" i="1" s="1"/>
  <c r="Z16" i="1"/>
  <c r="W16" i="1"/>
  <c r="Y16" i="1" s="1"/>
  <c r="Z15" i="1"/>
  <c r="W15" i="1"/>
  <c r="AA15" i="1" s="1"/>
  <c r="Y14" i="1"/>
  <c r="V14" i="1"/>
  <c r="U14" i="1"/>
  <c r="S14" i="1"/>
  <c r="R14" i="1"/>
  <c r="Q14" i="1"/>
  <c r="P14" i="1"/>
  <c r="O14" i="1"/>
  <c r="N14" i="1"/>
  <c r="L14" i="1"/>
  <c r="K14" i="1"/>
  <c r="J14" i="1"/>
  <c r="Z13" i="1"/>
  <c r="W13" i="1"/>
  <c r="AA13" i="1" s="1"/>
  <c r="Z12" i="1"/>
  <c r="W12" i="1"/>
  <c r="AA12" i="1" s="1"/>
  <c r="Z11" i="1"/>
  <c r="W11" i="1"/>
  <c r="AA11" i="1" s="1"/>
  <c r="Z10" i="1"/>
  <c r="W10" i="1"/>
  <c r="AA10" i="1" s="1"/>
  <c r="Z9" i="1"/>
  <c r="W9" i="1"/>
  <c r="AA9" i="1" s="1"/>
  <c r="M444" i="2" l="1"/>
  <c r="T417" i="2"/>
  <c r="T29" i="2"/>
  <c r="T259" i="2"/>
  <c r="T263" i="2"/>
  <c r="S327" i="2"/>
  <c r="S356" i="2"/>
  <c r="S366" i="2"/>
  <c r="S374" i="2"/>
  <c r="S396" i="2"/>
  <c r="W389" i="1"/>
  <c r="AA389" i="1" s="1"/>
  <c r="S72" i="2"/>
  <c r="S138" i="2"/>
  <c r="S158" i="2"/>
  <c r="S180" i="2"/>
  <c r="S188" i="2"/>
  <c r="T241" i="2"/>
  <c r="T264" i="2"/>
  <c r="S328" i="2"/>
  <c r="S347" i="2"/>
  <c r="S385" i="2"/>
  <c r="S397" i="2"/>
  <c r="T31" i="2"/>
  <c r="S46" i="2"/>
  <c r="AD46" i="2"/>
  <c r="S73" i="2"/>
  <c r="S113" i="2"/>
  <c r="S159" i="2"/>
  <c r="S161" i="2"/>
  <c r="S181" i="2"/>
  <c r="S223" i="2"/>
  <c r="T253" i="2"/>
  <c r="T265" i="2"/>
  <c r="S368" i="2"/>
  <c r="S398" i="2"/>
  <c r="S439" i="2"/>
  <c r="S24" i="2"/>
  <c r="S47" i="2"/>
  <c r="S74" i="2"/>
  <c r="S103" i="2"/>
  <c r="S106" i="2"/>
  <c r="S121" i="2"/>
  <c r="S132" i="2"/>
  <c r="S140" i="2"/>
  <c r="S142" i="2"/>
  <c r="S162" i="2"/>
  <c r="S170" i="2"/>
  <c r="S232" i="2"/>
  <c r="T243" i="2"/>
  <c r="T254" i="2"/>
  <c r="S329" i="2"/>
  <c r="S334" i="2"/>
  <c r="S341" i="2"/>
  <c r="S411" i="2"/>
  <c r="S421" i="2"/>
  <c r="U431" i="2"/>
  <c r="T19" i="2"/>
  <c r="S82" i="2"/>
  <c r="S86" i="2"/>
  <c r="S104" i="2"/>
  <c r="AA105" i="2"/>
  <c r="S107" i="2"/>
  <c r="S122" i="2"/>
  <c r="S124" i="2"/>
  <c r="S133" i="2"/>
  <c r="S163" i="2"/>
  <c r="S217" i="2"/>
  <c r="T244" i="2"/>
  <c r="T247" i="2"/>
  <c r="S352" i="2"/>
  <c r="S430" i="2"/>
  <c r="S381" i="2"/>
  <c r="S393" i="2"/>
  <c r="S34" i="1"/>
  <c r="S41" i="2"/>
  <c r="S61" i="2"/>
  <c r="S184" i="2"/>
  <c r="W18" i="1"/>
  <c r="AA18" i="1" s="1"/>
  <c r="W226" i="1"/>
  <c r="AA226" i="1" s="1"/>
  <c r="T27" i="2"/>
  <c r="S42" i="2"/>
  <c r="S50" i="2"/>
  <c r="S69" i="2"/>
  <c r="S88" i="2"/>
  <c r="S116" i="2"/>
  <c r="S125" i="2"/>
  <c r="S195" i="2"/>
  <c r="S235" i="2"/>
  <c r="T257" i="2"/>
  <c r="S372" i="2"/>
  <c r="S394" i="2"/>
  <c r="S416" i="2"/>
  <c r="S424" i="2"/>
  <c r="S435" i="2"/>
  <c r="T26" i="2"/>
  <c r="S59" i="2"/>
  <c r="S87" i="2"/>
  <c r="S115" i="2"/>
  <c r="T237" i="2"/>
  <c r="S256" i="2"/>
  <c r="S330" i="2"/>
  <c r="U312" i="1"/>
  <c r="U13" i="2"/>
  <c r="R13" i="2"/>
  <c r="T21" i="2"/>
  <c r="S62" i="2"/>
  <c r="S77" i="2"/>
  <c r="S118" i="2"/>
  <c r="S228" i="2"/>
  <c r="T239" i="2"/>
  <c r="S250" i="2"/>
  <c r="S258" i="2"/>
  <c r="S262" i="2"/>
  <c r="S337" i="2"/>
  <c r="S345" i="2"/>
  <c r="S221" i="2"/>
  <c r="S212" i="2"/>
  <c r="S202" i="2"/>
  <c r="S201" i="2"/>
  <c r="S189" i="2"/>
  <c r="S145" i="2"/>
  <c r="S109" i="2"/>
  <c r="S96" i="2"/>
  <c r="T17" i="2"/>
  <c r="S150" i="2"/>
  <c r="T266" i="2"/>
  <c r="S64" i="2"/>
  <c r="S388" i="2"/>
  <c r="Q33" i="2"/>
  <c r="Q275" i="2"/>
  <c r="Q321" i="2" s="1"/>
  <c r="Q83" i="2"/>
  <c r="T83" i="2"/>
  <c r="T105" i="2"/>
  <c r="X149" i="1"/>
  <c r="X155" i="1" s="1"/>
  <c r="AA387" i="1"/>
  <c r="AA105" i="1"/>
  <c r="AA225" i="1"/>
  <c r="Z111" i="1"/>
  <c r="AA253" i="1"/>
  <c r="AA275" i="1"/>
  <c r="X385" i="1"/>
  <c r="AA272" i="1"/>
  <c r="AA25" i="1"/>
  <c r="AA28" i="1"/>
  <c r="AA363" i="1"/>
  <c r="X62" i="1"/>
  <c r="X69" i="1" s="1"/>
  <c r="AA51" i="1"/>
  <c r="X172" i="1"/>
  <c r="X179" i="1"/>
  <c r="X195" i="1" s="1"/>
  <c r="AA182" i="1"/>
  <c r="X233" i="1"/>
  <c r="O418" i="1"/>
  <c r="AA394" i="1"/>
  <c r="AA196" i="1"/>
  <c r="AA219" i="1"/>
  <c r="X353" i="1"/>
  <c r="AA383" i="1"/>
  <c r="X238" i="1"/>
  <c r="X247" i="1" s="1"/>
  <c r="L379" i="1"/>
  <c r="AA49" i="1"/>
  <c r="Y243" i="1"/>
  <c r="AA296" i="1"/>
  <c r="AB350" i="1"/>
  <c r="AB359" i="1" s="1"/>
  <c r="AA381" i="1"/>
  <c r="AA415" i="1"/>
  <c r="AA46" i="1"/>
  <c r="X35" i="1"/>
  <c r="X39" i="1" s="1"/>
  <c r="Y269" i="1"/>
  <c r="X50" i="1"/>
  <c r="AA125" i="1"/>
  <c r="AA159" i="1"/>
  <c r="AB360" i="1"/>
  <c r="AB364" i="1" s="1"/>
  <c r="X382" i="1"/>
  <c r="T379" i="1"/>
  <c r="X235" i="1"/>
  <c r="X258" i="1"/>
  <c r="L418" i="1"/>
  <c r="X151" i="1"/>
  <c r="X240" i="1"/>
  <c r="AA16" i="1"/>
  <c r="Z53" i="1"/>
  <c r="X52" i="1"/>
  <c r="AB54" i="1"/>
  <c r="AB61" i="1" s="1"/>
  <c r="X135" i="1"/>
  <c r="X197" i="1"/>
  <c r="X223" i="1"/>
  <c r="Y240" i="1"/>
  <c r="AC248" i="1"/>
  <c r="AC262" i="1" s="1"/>
  <c r="AA281" i="1"/>
  <c r="X291" i="1"/>
  <c r="X328" i="1"/>
  <c r="J379" i="1"/>
  <c r="R379" i="1"/>
  <c r="AA369" i="1"/>
  <c r="X384" i="1"/>
  <c r="X386" i="1"/>
  <c r="X388" i="1"/>
  <c r="AA398" i="1"/>
  <c r="AB404" i="1"/>
  <c r="AB411" i="1" s="1"/>
  <c r="AA439" i="1"/>
  <c r="X116" i="1"/>
  <c r="AA60" i="1"/>
  <c r="AA144" i="1"/>
  <c r="AA278" i="1"/>
  <c r="AB380" i="1"/>
  <c r="AB390" i="1" s="1"/>
  <c r="AA392" i="1"/>
  <c r="X408" i="1"/>
  <c r="AA422" i="1"/>
  <c r="M444" i="1"/>
  <c r="X30" i="1"/>
  <c r="X48" i="1"/>
  <c r="AC62" i="1"/>
  <c r="AC69" i="1" s="1"/>
  <c r="X201" i="1"/>
  <c r="AA209" i="1"/>
  <c r="X221" i="1"/>
  <c r="Y258" i="1"/>
  <c r="X264" i="1"/>
  <c r="X317" i="1"/>
  <c r="X362" i="1"/>
  <c r="X380" i="1"/>
  <c r="X390" i="1" s="1"/>
  <c r="AB391" i="1"/>
  <c r="AB403" i="1" s="1"/>
  <c r="AA402" i="1"/>
  <c r="AA413" i="1"/>
  <c r="X325" i="1"/>
  <c r="X9" i="1"/>
  <c r="X14" i="1" s="1"/>
  <c r="Y30" i="1"/>
  <c r="X87" i="1"/>
  <c r="Z142" i="1"/>
  <c r="AA252" i="1"/>
  <c r="AA309" i="1"/>
  <c r="AC350" i="1"/>
  <c r="AC359" i="1" s="1"/>
  <c r="AA354" i="1"/>
  <c r="AA396" i="1"/>
  <c r="Y248" i="1"/>
  <c r="Y262" i="1" s="1"/>
  <c r="AC9" i="1"/>
  <c r="AC14" i="1" s="1"/>
  <c r="AC15" i="1"/>
  <c r="AC34" i="1" s="1"/>
  <c r="AA55" i="1"/>
  <c r="Y87" i="1"/>
  <c r="AC119" i="1"/>
  <c r="AC124" i="1" s="1"/>
  <c r="AA141" i="1"/>
  <c r="AC179" i="1"/>
  <c r="AC195" i="1" s="1"/>
  <c r="X205" i="1"/>
  <c r="W214" i="1"/>
  <c r="Y239" i="1"/>
  <c r="X241" i="1"/>
  <c r="Y250" i="1"/>
  <c r="AA264" i="1"/>
  <c r="X275" i="1"/>
  <c r="AA306" i="1"/>
  <c r="AA352" i="1"/>
  <c r="J444" i="1"/>
  <c r="X203" i="1"/>
  <c r="X251" i="1"/>
  <c r="P216" i="1"/>
  <c r="AA71" i="1"/>
  <c r="AA78" i="1"/>
  <c r="AA190" i="1"/>
  <c r="Z206" i="1"/>
  <c r="X199" i="1"/>
  <c r="AA213" i="1"/>
  <c r="M322" i="1"/>
  <c r="Y253" i="1"/>
  <c r="K379" i="1"/>
  <c r="X389" i="1"/>
  <c r="P418" i="1"/>
  <c r="AA400" i="1"/>
  <c r="K444" i="1"/>
  <c r="AA441" i="1"/>
  <c r="X24" i="1"/>
  <c r="Z359" i="1"/>
  <c r="Y24" i="1"/>
  <c r="X27" i="1"/>
  <c r="X31" i="1"/>
  <c r="AA33" i="1"/>
  <c r="X44" i="1"/>
  <c r="Z61" i="1"/>
  <c r="X59" i="1"/>
  <c r="X77" i="1"/>
  <c r="AC96" i="1"/>
  <c r="AC106" i="1" s="1"/>
  <c r="AA143" i="1"/>
  <c r="X154" i="1"/>
  <c r="AC167" i="1"/>
  <c r="AC173" i="1" s="1"/>
  <c r="AB196" i="1"/>
  <c r="AB206" i="1" s="1"/>
  <c r="Z214" i="1"/>
  <c r="AC207" i="1" s="1"/>
  <c r="AC214" i="1" s="1"/>
  <c r="X212" i="1"/>
  <c r="AA241" i="1"/>
  <c r="X277" i="1"/>
  <c r="X288" i="1" s="1"/>
  <c r="X282" i="1"/>
  <c r="AA292" i="1"/>
  <c r="AA304" i="1"/>
  <c r="AA316" i="1"/>
  <c r="X318" i="1"/>
  <c r="X330" i="1"/>
  <c r="X335" i="1"/>
  <c r="X355" i="1"/>
  <c r="X367" i="1"/>
  <c r="J418" i="1"/>
  <c r="R418" i="1"/>
  <c r="W403" i="1"/>
  <c r="X393" i="1"/>
  <c r="X395" i="1"/>
  <c r="X397" i="1"/>
  <c r="X399" i="1"/>
  <c r="X401" i="1"/>
  <c r="AC404" i="1"/>
  <c r="AC411" i="1" s="1"/>
  <c r="X410" i="1"/>
  <c r="X426" i="1"/>
  <c r="X429" i="1"/>
  <c r="AC433" i="1"/>
  <c r="AC442" i="1" s="1"/>
  <c r="Z442" i="1"/>
  <c r="X99" i="1"/>
  <c r="X202" i="1"/>
  <c r="X207" i="1"/>
  <c r="X214" i="1" s="1"/>
  <c r="X222" i="1"/>
  <c r="Y270" i="1"/>
  <c r="Y27" i="1"/>
  <c r="Y31" i="1"/>
  <c r="AA54" i="1"/>
  <c r="X57" i="1"/>
  <c r="AA64" i="1"/>
  <c r="X75" i="1"/>
  <c r="AA97" i="1"/>
  <c r="AA101" i="1"/>
  <c r="X123" i="1"/>
  <c r="W130" i="1"/>
  <c r="X131" i="1"/>
  <c r="X137" i="1" s="1"/>
  <c r="X136" i="1"/>
  <c r="W137" i="1"/>
  <c r="W155" i="1"/>
  <c r="AC149" i="1"/>
  <c r="AC155" i="1" s="1"/>
  <c r="AA157" i="1"/>
  <c r="AC162" i="1"/>
  <c r="AC166" i="1" s="1"/>
  <c r="AA177" i="1"/>
  <c r="AA180" i="1"/>
  <c r="X186" i="1"/>
  <c r="AA188" i="1"/>
  <c r="X194" i="1"/>
  <c r="AC196" i="1"/>
  <c r="AC206" i="1" s="1"/>
  <c r="AA198" i="1"/>
  <c r="AA200" i="1"/>
  <c r="AA204" i="1"/>
  <c r="AA207" i="1"/>
  <c r="AA215" i="1"/>
  <c r="AA218" i="1"/>
  <c r="AA220" i="1"/>
  <c r="AA224" i="1"/>
  <c r="AA268" i="1"/>
  <c r="Y282" i="1"/>
  <c r="AA294" i="1"/>
  <c r="AA307" i="1"/>
  <c r="AA323" i="1"/>
  <c r="AA341" i="1"/>
  <c r="AA357" i="1"/>
  <c r="T418" i="1"/>
  <c r="AA404" i="1"/>
  <c r="Z411" i="1"/>
  <c r="X414" i="1"/>
  <c r="AA417" i="1"/>
  <c r="AA420" i="1"/>
  <c r="L444" i="1"/>
  <c r="AA434" i="1"/>
  <c r="AA437" i="1"/>
  <c r="Z130" i="1"/>
  <c r="Z39" i="1"/>
  <c r="X54" i="1"/>
  <c r="X61" i="1" s="1"/>
  <c r="X103" i="1"/>
  <c r="X167" i="1"/>
  <c r="X173" i="1" s="1"/>
  <c r="Q418" i="1"/>
  <c r="K216" i="1"/>
  <c r="X42" i="1"/>
  <c r="X47" i="1"/>
  <c r="AB70" i="1"/>
  <c r="AB84" i="1" s="1"/>
  <c r="X86" i="1"/>
  <c r="X104" i="1"/>
  <c r="X113" i="1"/>
  <c r="X115" i="1"/>
  <c r="X117" i="1"/>
  <c r="W118" i="1"/>
  <c r="Z124" i="1"/>
  <c r="AA134" i="1"/>
  <c r="AA139" i="1"/>
  <c r="X150" i="1"/>
  <c r="X152" i="1"/>
  <c r="Z195" i="1"/>
  <c r="AB207" i="1"/>
  <c r="AB214" i="1" s="1"/>
  <c r="X227" i="1"/>
  <c r="Y242" i="1"/>
  <c r="Y251" i="1"/>
  <c r="X259" i="1"/>
  <c r="X274" i="1"/>
  <c r="K322" i="1"/>
  <c r="X315" i="1"/>
  <c r="Z349" i="1"/>
  <c r="X351" i="1"/>
  <c r="O379" i="1"/>
  <c r="AC380" i="1"/>
  <c r="AC390" i="1" s="1"/>
  <c r="AA393" i="1"/>
  <c r="M418" i="1"/>
  <c r="AA19" i="1"/>
  <c r="AA22" i="1"/>
  <c r="AB35" i="1"/>
  <c r="AB39" i="1" s="1"/>
  <c r="AC40" i="1"/>
  <c r="AC53" i="1" s="1"/>
  <c r="AB62" i="1"/>
  <c r="AB69" i="1" s="1"/>
  <c r="AC70" i="1"/>
  <c r="AC84" i="1" s="1"/>
  <c r="X73" i="1"/>
  <c r="AC85" i="1"/>
  <c r="AC95" i="1" s="1"/>
  <c r="W106" i="1"/>
  <c r="X98" i="1"/>
  <c r="X100" i="1"/>
  <c r="X102" i="1"/>
  <c r="X121" i="1"/>
  <c r="AB131" i="1"/>
  <c r="AB137" i="1" s="1"/>
  <c r="X156" i="1"/>
  <c r="X161" i="1" s="1"/>
  <c r="X168" i="1"/>
  <c r="X184" i="1"/>
  <c r="X192" i="1"/>
  <c r="W206" i="1"/>
  <c r="Y259" i="1"/>
  <c r="AA266" i="1"/>
  <c r="Y274" i="1"/>
  <c r="AA305" i="1"/>
  <c r="AA326" i="1"/>
  <c r="AA333" i="1"/>
  <c r="X339" i="1"/>
  <c r="M379" i="1"/>
  <c r="U379" i="1"/>
  <c r="AA361" i="1"/>
  <c r="Z377" i="1"/>
  <c r="AA380" i="1"/>
  <c r="AA390" i="1" s="1"/>
  <c r="V418" i="1"/>
  <c r="X424" i="1"/>
  <c r="X430" i="1"/>
  <c r="Q444" i="1"/>
  <c r="N322" i="1"/>
  <c r="Q216" i="1"/>
  <c r="X229" i="1"/>
  <c r="X268" i="1"/>
  <c r="W14" i="1"/>
  <c r="Z69" i="1"/>
  <c r="W142" i="1"/>
  <c r="AA150" i="1"/>
  <c r="AA155" i="1" s="1"/>
  <c r="AA175" i="1"/>
  <c r="AA217" i="1"/>
  <c r="X231" i="1"/>
  <c r="L322" i="1"/>
  <c r="AA242" i="1"/>
  <c r="X278" i="1"/>
  <c r="Y286" i="1"/>
  <c r="AA308" i="1"/>
  <c r="AA311" i="1"/>
  <c r="Z320" i="1"/>
  <c r="AC313" i="1"/>
  <c r="AC320" i="1" s="1"/>
  <c r="X321" i="1"/>
  <c r="AA324" i="1"/>
  <c r="N379" i="1"/>
  <c r="AA358" i="1"/>
  <c r="W364" i="1"/>
  <c r="AA365" i="1"/>
  <c r="X378" i="1"/>
  <c r="N418" i="1"/>
  <c r="W390" i="1"/>
  <c r="AA435" i="1"/>
  <c r="R444" i="1"/>
  <c r="AA443" i="1"/>
  <c r="AC138" i="1"/>
  <c r="AC142" i="1" s="1"/>
  <c r="AC412" i="1"/>
  <c r="AC416" i="1" s="1"/>
  <c r="Z155" i="1"/>
  <c r="X404" i="1"/>
  <c r="X411" i="1" s="1"/>
  <c r="O216" i="1"/>
  <c r="W34" i="1"/>
  <c r="W61" i="1"/>
  <c r="AB149" i="1"/>
  <c r="AB155" i="1" s="1"/>
  <c r="AA211" i="1"/>
  <c r="V322" i="1"/>
  <c r="X239" i="1"/>
  <c r="X248" i="1"/>
  <c r="X262" i="1" s="1"/>
  <c r="X250" i="1"/>
  <c r="Y254" i="1"/>
  <c r="AA269" i="1"/>
  <c r="AA283" i="1"/>
  <c r="AA291" i="1"/>
  <c r="AA303" i="1"/>
  <c r="AA313" i="1"/>
  <c r="AA331" i="1"/>
  <c r="AA356" i="1"/>
  <c r="X360" i="1"/>
  <c r="X364" i="1" s="1"/>
  <c r="W377" i="1"/>
  <c r="Y418" i="1"/>
  <c r="X428" i="1"/>
  <c r="T242" i="2"/>
  <c r="S401" i="2"/>
  <c r="S37" i="2"/>
  <c r="T24" i="2"/>
  <c r="T30" i="2"/>
  <c r="S314" i="2"/>
  <c r="K443" i="2"/>
  <c r="S399" i="2"/>
  <c r="S51" i="2"/>
  <c r="S134" i="2"/>
  <c r="K378" i="2"/>
  <c r="E15" i="5" s="1"/>
  <c r="Q417" i="2"/>
  <c r="S302" i="2"/>
  <c r="T22" i="2"/>
  <c r="S211" i="2"/>
  <c r="T289" i="2"/>
  <c r="S425" i="2"/>
  <c r="S440" i="2"/>
  <c r="S208" i="2"/>
  <c r="P443" i="2"/>
  <c r="S35" i="2"/>
  <c r="S56" i="2"/>
  <c r="S214" i="2"/>
  <c r="S263" i="2"/>
  <c r="T86" i="2"/>
  <c r="S291" i="2"/>
  <c r="S78" i="2"/>
  <c r="S294" i="2"/>
  <c r="S137" i="2"/>
  <c r="S157" i="2"/>
  <c r="S174" i="2"/>
  <c r="S218" i="2"/>
  <c r="S224" i="2"/>
  <c r="T250" i="2"/>
  <c r="S285" i="2"/>
  <c r="S308" i="2"/>
  <c r="S320" i="2"/>
  <c r="S342" i="2"/>
  <c r="S359" i="2"/>
  <c r="S373" i="2"/>
  <c r="S14" i="2"/>
  <c r="S57" i="2"/>
  <c r="S89" i="2"/>
  <c r="S144" i="2"/>
  <c r="S197" i="2"/>
  <c r="S209" i="2"/>
  <c r="S238" i="2"/>
  <c r="T258" i="2"/>
  <c r="R292" i="2"/>
  <c r="T291" i="2"/>
  <c r="S304" i="2"/>
  <c r="S333" i="2"/>
  <c r="S338" i="2"/>
  <c r="S382" i="2"/>
  <c r="S395" i="2"/>
  <c r="S427" i="2"/>
  <c r="T14" i="2"/>
  <c r="S32" i="2"/>
  <c r="S34" i="2"/>
  <c r="S54" i="2"/>
  <c r="S81" i="2"/>
  <c r="S98" i="2"/>
  <c r="S108" i="2"/>
  <c r="S185" i="2"/>
  <c r="S191" i="2"/>
  <c r="S231" i="2"/>
  <c r="T238" i="2"/>
  <c r="S265" i="2"/>
  <c r="S282" i="2"/>
  <c r="S286" i="2"/>
  <c r="S293" i="2"/>
  <c r="S414" i="2"/>
  <c r="S436" i="2"/>
  <c r="S207" i="2"/>
  <c r="L321" i="2"/>
  <c r="S310" i="2"/>
  <c r="K417" i="2"/>
  <c r="E16" i="5" s="1"/>
  <c r="S423" i="2"/>
  <c r="S120" i="2"/>
  <c r="S227" i="2"/>
  <c r="S331" i="2"/>
  <c r="L417" i="2"/>
  <c r="S126" i="2"/>
  <c r="S171" i="2"/>
  <c r="S187" i="2"/>
  <c r="S200" i="2"/>
  <c r="T273" i="2"/>
  <c r="S284" i="2"/>
  <c r="S317" i="2"/>
  <c r="S324" i="2"/>
  <c r="S357" i="2"/>
  <c r="S362" i="2"/>
  <c r="R177" i="2"/>
  <c r="T15" i="2"/>
  <c r="S39" i="2"/>
  <c r="S48" i="2"/>
  <c r="S58" i="2"/>
  <c r="S65" i="2"/>
  <c r="S71" i="2"/>
  <c r="S75" i="2"/>
  <c r="S84" i="2"/>
  <c r="S90" i="2"/>
  <c r="S99" i="2"/>
  <c r="S111" i="2"/>
  <c r="S168" i="2"/>
  <c r="S176" i="2"/>
  <c r="S192" i="2"/>
  <c r="S229" i="2"/>
  <c r="T256" i="2"/>
  <c r="S280" i="2"/>
  <c r="S288" i="2"/>
  <c r="S290" i="2"/>
  <c r="S297" i="2"/>
  <c r="S306" i="2"/>
  <c r="S349" i="2"/>
  <c r="S353" i="2"/>
  <c r="J378" i="2"/>
  <c r="P378" i="2"/>
  <c r="S419" i="2"/>
  <c r="J443" i="2"/>
  <c r="E7" i="5" s="1"/>
  <c r="T84" i="2"/>
  <c r="T288" i="2"/>
  <c r="S16" i="2"/>
  <c r="S18" i="2"/>
  <c r="S25" i="2"/>
  <c r="S45" i="2"/>
  <c r="S53" i="2"/>
  <c r="S63" i="2"/>
  <c r="S79" i="2"/>
  <c r="S128" i="2"/>
  <c r="R129" i="2"/>
  <c r="S146" i="2"/>
  <c r="S164" i="2"/>
  <c r="S173" i="2"/>
  <c r="S190" i="2"/>
  <c r="S198" i="2"/>
  <c r="S222" i="2"/>
  <c r="S230" i="2"/>
  <c r="S240" i="2"/>
  <c r="S307" i="2"/>
  <c r="S316" i="2"/>
  <c r="S322" i="2"/>
  <c r="S332" i="2"/>
  <c r="S340" i="2"/>
  <c r="S344" i="2"/>
  <c r="S369" i="2"/>
  <c r="S380" i="2"/>
  <c r="S384" i="2"/>
  <c r="Q443" i="2"/>
  <c r="S434" i="2"/>
  <c r="S438" i="2"/>
  <c r="L443" i="2"/>
  <c r="T16" i="2"/>
  <c r="T25" i="2"/>
  <c r="S49" i="2"/>
  <c r="S66" i="2"/>
  <c r="S76" i="2"/>
  <c r="S85" i="2"/>
  <c r="S91" i="2"/>
  <c r="S97" i="2"/>
  <c r="S153" i="2"/>
  <c r="R160" i="2"/>
  <c r="R172" i="2"/>
  <c r="S169" i="2"/>
  <c r="S179" i="2"/>
  <c r="S183" i="2"/>
  <c r="S193" i="2"/>
  <c r="S204" i="2"/>
  <c r="S295" i="2"/>
  <c r="S299" i="2"/>
  <c r="S336" i="2"/>
  <c r="S351" i="2"/>
  <c r="S355" i="2"/>
  <c r="S365" i="2"/>
  <c r="S390" i="2"/>
  <c r="S409" i="2"/>
  <c r="S429" i="2"/>
  <c r="S442" i="2"/>
  <c r="J215" i="2"/>
  <c r="E3" i="5" s="1"/>
  <c r="S139" i="2"/>
  <c r="K215" i="2"/>
  <c r="E13" i="5" s="1"/>
  <c r="R154" i="2"/>
  <c r="R205" i="2"/>
  <c r="J321" i="2"/>
  <c r="E4" i="5" s="1"/>
  <c r="S360" i="2"/>
  <c r="S371" i="2"/>
  <c r="S406" i="2"/>
  <c r="S31" i="2"/>
  <c r="S43" i="2"/>
  <c r="S92" i="2"/>
  <c r="R123" i="2"/>
  <c r="S131" i="2"/>
  <c r="R141" i="2"/>
  <c r="S346" i="2"/>
  <c r="T378" i="2"/>
  <c r="S367" i="2"/>
  <c r="S386" i="2"/>
  <c r="P417" i="2"/>
  <c r="S412" i="2"/>
  <c r="S432" i="2"/>
  <c r="S444" i="1"/>
  <c r="S379" i="1"/>
  <c r="AA245" i="1"/>
  <c r="X283" i="1"/>
  <c r="AA301" i="1"/>
  <c r="AB179" i="1"/>
  <c r="AB195" i="1" s="1"/>
  <c r="AA146" i="1"/>
  <c r="W195" i="1"/>
  <c r="AA138" i="1"/>
  <c r="AB143" i="1"/>
  <c r="AB148" i="1" s="1"/>
  <c r="AB167" i="1"/>
  <c r="AB173" i="1" s="1"/>
  <c r="X138" i="1"/>
  <c r="X142" i="1" s="1"/>
  <c r="W91" i="1"/>
  <c r="AA91" i="1" s="1"/>
  <c r="S114" i="2"/>
  <c r="S8" i="2"/>
  <c r="S13" i="2" s="1"/>
  <c r="T18" i="2"/>
  <c r="S20" i="2"/>
  <c r="S27" i="2"/>
  <c r="T32" i="2"/>
  <c r="S36" i="2"/>
  <c r="S40" i="2"/>
  <c r="S70" i="2"/>
  <c r="S80" i="2"/>
  <c r="R105" i="2"/>
  <c r="S100" i="2"/>
  <c r="R136" i="2"/>
  <c r="S130" i="2"/>
  <c r="S151" i="2"/>
  <c r="S155" i="2"/>
  <c r="S166" i="2"/>
  <c r="S216" i="2"/>
  <c r="T240" i="2"/>
  <c r="S298" i="2"/>
  <c r="S312" i="2"/>
  <c r="R319" i="2"/>
  <c r="S325" i="2"/>
  <c r="S370" i="2"/>
  <c r="S387" i="2"/>
  <c r="S428" i="2"/>
  <c r="S437" i="2"/>
  <c r="R33" i="2"/>
  <c r="S244" i="2"/>
  <c r="S15" i="2"/>
  <c r="T20" i="2"/>
  <c r="S30" i="2"/>
  <c r="R68" i="2"/>
  <c r="S95" i="2"/>
  <c r="S101" i="2"/>
  <c r="S112" i="2"/>
  <c r="S148" i="2"/>
  <c r="K321" i="2"/>
  <c r="E14" i="5" s="1"/>
  <c r="R261" i="2"/>
  <c r="S247" i="2"/>
  <c r="S251" i="2"/>
  <c r="T251" i="2"/>
  <c r="S264" i="2"/>
  <c r="T267" i="2"/>
  <c r="S271" i="2"/>
  <c r="T271" i="2"/>
  <c r="S283" i="2"/>
  <c r="S315" i="2"/>
  <c r="S335" i="2"/>
  <c r="S339" i="2"/>
  <c r="S379" i="2"/>
  <c r="S383" i="2"/>
  <c r="S237" i="2"/>
  <c r="R246" i="2"/>
  <c r="R38" i="2"/>
  <c r="R110" i="2"/>
  <c r="S119" i="2"/>
  <c r="S178" i="2"/>
  <c r="S210" i="2"/>
  <c r="S252" i="2"/>
  <c r="T252" i="2"/>
  <c r="S17" i="2"/>
  <c r="S19" i="2"/>
  <c r="S21" i="2"/>
  <c r="S26" i="2"/>
  <c r="S28" i="2"/>
  <c r="S55" i="2"/>
  <c r="S102" i="2"/>
  <c r="S127" i="2"/>
  <c r="S135" i="2"/>
  <c r="S149" i="2"/>
  <c r="S156" i="2"/>
  <c r="S167" i="2"/>
  <c r="S182" i="2"/>
  <c r="S196" i="2"/>
  <c r="S199" i="2"/>
  <c r="S203" i="2"/>
  <c r="S233" i="2"/>
  <c r="P321" i="2"/>
  <c r="S248" i="2"/>
  <c r="T248" i="2"/>
  <c r="S253" i="2"/>
  <c r="S257" i="2"/>
  <c r="R275" i="2"/>
  <c r="T262" i="2"/>
  <c r="T281" i="2"/>
  <c r="S281" i="2"/>
  <c r="S361" i="2"/>
  <c r="R410" i="2"/>
  <c r="S403" i="2"/>
  <c r="S413" i="2"/>
  <c r="R415" i="2"/>
  <c r="S220" i="2"/>
  <c r="T279" i="2"/>
  <c r="S279" i="2"/>
  <c r="L215" i="2"/>
  <c r="T28" i="2"/>
  <c r="U38" i="2"/>
  <c r="R52" i="2"/>
  <c r="S143" i="2"/>
  <c r="R147" i="2"/>
  <c r="R165" i="2"/>
  <c r="S226" i="2"/>
  <c r="S234" i="2"/>
  <c r="R287" i="2"/>
  <c r="S277" i="2"/>
  <c r="L378" i="2"/>
  <c r="S350" i="2"/>
  <c r="R358" i="2"/>
  <c r="J417" i="2"/>
  <c r="E6" i="5" s="1"/>
  <c r="S93" i="2"/>
  <c r="P215" i="2"/>
  <c r="S67" i="2"/>
  <c r="R94" i="2"/>
  <c r="R117" i="2"/>
  <c r="U177" i="2"/>
  <c r="S175" i="2"/>
  <c r="S186" i="2"/>
  <c r="S243" i="2"/>
  <c r="S254" i="2"/>
  <c r="S206" i="2"/>
  <c r="R213" i="2"/>
  <c r="S255" i="2"/>
  <c r="T255" i="2"/>
  <c r="S270" i="2"/>
  <c r="S309" i="2"/>
  <c r="S22" i="2"/>
  <c r="S29" i="2"/>
  <c r="R60" i="2"/>
  <c r="R83" i="2"/>
  <c r="R194" i="2"/>
  <c r="S219" i="2"/>
  <c r="S266" i="2"/>
  <c r="T278" i="2"/>
  <c r="S305" i="2"/>
  <c r="S241" i="2"/>
  <c r="S268" i="2"/>
  <c r="Q378" i="2"/>
  <c r="S354" i="2"/>
  <c r="R441" i="2"/>
  <c r="S433" i="2"/>
  <c r="S245" i="2"/>
  <c r="S249" i="2"/>
  <c r="S272" i="2"/>
  <c r="S326" i="2"/>
  <c r="S343" i="2"/>
  <c r="R376" i="2"/>
  <c r="S364" i="2"/>
  <c r="S392" i="2"/>
  <c r="S239" i="2"/>
  <c r="S242" i="2"/>
  <c r="T245" i="2"/>
  <c r="T249" i="2"/>
  <c r="S259" i="2"/>
  <c r="T269" i="2"/>
  <c r="T272" i="2"/>
  <c r="R348" i="2"/>
  <c r="S323" i="2"/>
  <c r="S400" i="2"/>
  <c r="R431" i="2"/>
  <c r="S426" i="2"/>
  <c r="S418" i="2"/>
  <c r="AA14" i="1"/>
  <c r="S216" i="1"/>
  <c r="AA255" i="1"/>
  <c r="Y255" i="1"/>
  <c r="X255" i="1"/>
  <c r="Z14" i="1"/>
  <c r="X21" i="1"/>
  <c r="X37" i="1"/>
  <c r="X66" i="1"/>
  <c r="X68" i="1"/>
  <c r="W69" i="1"/>
  <c r="X70" i="1"/>
  <c r="X84" i="1" s="1"/>
  <c r="X79" i="1"/>
  <c r="X81" i="1"/>
  <c r="X83" i="1"/>
  <c r="W84" i="1"/>
  <c r="X85" i="1"/>
  <c r="X95" i="1" s="1"/>
  <c r="X88" i="1"/>
  <c r="X90" i="1"/>
  <c r="X92" i="1"/>
  <c r="X94" i="1"/>
  <c r="X96" i="1"/>
  <c r="X106" i="1" s="1"/>
  <c r="X108" i="1"/>
  <c r="X232" i="1"/>
  <c r="AB248" i="1"/>
  <c r="AB262" i="1" s="1"/>
  <c r="AA267" i="1"/>
  <c r="X267" i="1"/>
  <c r="AC277" i="1"/>
  <c r="AC288" i="1" s="1"/>
  <c r="Z288" i="1"/>
  <c r="Y279" i="1"/>
  <c r="Y284" i="1"/>
  <c r="X284" i="1"/>
  <c r="AA284" i="1"/>
  <c r="W293" i="1"/>
  <c r="Y289" i="1"/>
  <c r="Y293" i="1" s="1"/>
  <c r="X289" i="1"/>
  <c r="X293" i="1" s="1"/>
  <c r="AB289" i="1"/>
  <c r="AB293" i="1" s="1"/>
  <c r="AA300" i="1"/>
  <c r="X300" i="1"/>
  <c r="X319" i="1"/>
  <c r="AA345" i="1"/>
  <c r="X345" i="1"/>
  <c r="AA373" i="1"/>
  <c r="X373" i="1"/>
  <c r="AA427" i="1"/>
  <c r="X427" i="1"/>
  <c r="W320" i="1"/>
  <c r="X17" i="1"/>
  <c r="Y21" i="1"/>
  <c r="X29" i="1"/>
  <c r="Z34" i="1"/>
  <c r="X56" i="1"/>
  <c r="X120" i="1"/>
  <c r="X122" i="1"/>
  <c r="AA126" i="1"/>
  <c r="X126" i="1"/>
  <c r="X129" i="1"/>
  <c r="W161" i="1"/>
  <c r="Z173" i="1"/>
  <c r="AA176" i="1"/>
  <c r="X176" i="1"/>
  <c r="O322" i="1"/>
  <c r="Y246" i="1"/>
  <c r="X246" i="1"/>
  <c r="Y256" i="1"/>
  <c r="AA256" i="1"/>
  <c r="W262" i="1"/>
  <c r="Y267" i="1"/>
  <c r="Z293" i="1"/>
  <c r="AA440" i="1"/>
  <c r="AB9" i="1"/>
  <c r="AB14" i="1" s="1"/>
  <c r="J216" i="1"/>
  <c r="Y17" i="1"/>
  <c r="X20" i="1"/>
  <c r="X23" i="1"/>
  <c r="Y26" i="1"/>
  <c r="Y29" i="1"/>
  <c r="AC35" i="1"/>
  <c r="AC39" i="1" s="1"/>
  <c r="AA37" i="1"/>
  <c r="AA39" i="1" s="1"/>
  <c r="X41" i="1"/>
  <c r="X43" i="1"/>
  <c r="W45" i="1"/>
  <c r="X58" i="1"/>
  <c r="X63" i="1"/>
  <c r="AA70" i="1"/>
  <c r="X72" i="1"/>
  <c r="X74" i="1"/>
  <c r="X76" i="1"/>
  <c r="AA109" i="1"/>
  <c r="X109" i="1"/>
  <c r="X112" i="1"/>
  <c r="X118" i="1" s="1"/>
  <c r="AA158" i="1"/>
  <c r="X158" i="1"/>
  <c r="AB162" i="1"/>
  <c r="AB166" i="1" s="1"/>
  <c r="AA162" i="1"/>
  <c r="X162" i="1"/>
  <c r="X166" i="1" s="1"/>
  <c r="X165" i="1"/>
  <c r="X170" i="1"/>
  <c r="W178" i="1"/>
  <c r="AA174" i="1"/>
  <c r="X181" i="1"/>
  <c r="X183" i="1"/>
  <c r="X185" i="1"/>
  <c r="X187" i="1"/>
  <c r="X189" i="1"/>
  <c r="X191" i="1"/>
  <c r="X193" i="1"/>
  <c r="AA230" i="1"/>
  <c r="X230" i="1"/>
  <c r="AA236" i="1"/>
  <c r="X236" i="1"/>
  <c r="W247" i="1"/>
  <c r="AA238" i="1"/>
  <c r="AC238" i="1"/>
  <c r="AC247" i="1" s="1"/>
  <c r="X256" i="1"/>
  <c r="Y263" i="1"/>
  <c r="Y276" i="1" s="1"/>
  <c r="W276" i="1"/>
  <c r="AA263" i="1"/>
  <c r="Y280" i="1"/>
  <c r="AA280" i="1"/>
  <c r="X280" i="1"/>
  <c r="AA289" i="1"/>
  <c r="AA297" i="1"/>
  <c r="X297" i="1"/>
  <c r="AA342" i="1"/>
  <c r="X342" i="1"/>
  <c r="AA370" i="1"/>
  <c r="X370" i="1"/>
  <c r="X438" i="1"/>
  <c r="AA438" i="1"/>
  <c r="Y260" i="1"/>
  <c r="AA260" i="1"/>
  <c r="X32" i="1"/>
  <c r="Y32" i="1"/>
  <c r="Y85" i="1"/>
  <c r="Y95" i="1" s="1"/>
  <c r="AA56" i="1"/>
  <c r="Z84" i="1"/>
  <c r="AA85" i="1"/>
  <c r="Z95" i="1"/>
  <c r="AA96" i="1"/>
  <c r="Z118" i="1"/>
  <c r="AC112" i="1"/>
  <c r="AC118" i="1" s="1"/>
  <c r="AA114" i="1"/>
  <c r="AA118" i="1" s="1"/>
  <c r="X114" i="1"/>
  <c r="AA132" i="1"/>
  <c r="Z161" i="1"/>
  <c r="Z237" i="1"/>
  <c r="AC217" i="1"/>
  <c r="AC237" i="1" s="1"/>
  <c r="AA244" i="1"/>
  <c r="X244" i="1"/>
  <c r="AA246" i="1"/>
  <c r="Y265" i="1"/>
  <c r="AA265" i="1"/>
  <c r="X265" i="1"/>
  <c r="Z312" i="1"/>
  <c r="AC294" i="1"/>
  <c r="AC312" i="1" s="1"/>
  <c r="AB313" i="1"/>
  <c r="AB320" i="1" s="1"/>
  <c r="W416" i="1"/>
  <c r="AB412" i="1"/>
  <c r="AB416" i="1" s="1"/>
  <c r="AA412" i="1"/>
  <c r="AB419" i="1"/>
  <c r="AB432" i="1" s="1"/>
  <c r="X419" i="1"/>
  <c r="X432" i="1" s="1"/>
  <c r="W432" i="1"/>
  <c r="AA419" i="1"/>
  <c r="AC131" i="1"/>
  <c r="AC137" i="1" s="1"/>
  <c r="Z137" i="1"/>
  <c r="Z106" i="1"/>
  <c r="Y20" i="1"/>
  <c r="L216" i="1"/>
  <c r="X16" i="1"/>
  <c r="X25" i="1"/>
  <c r="AA26" i="1"/>
  <c r="X28" i="1"/>
  <c r="M216" i="1"/>
  <c r="X36" i="1"/>
  <c r="X38" i="1"/>
  <c r="W39" i="1"/>
  <c r="X40" i="1"/>
  <c r="X53" i="1" s="1"/>
  <c r="AA63" i="1"/>
  <c r="X65" i="1"/>
  <c r="X67" i="1"/>
  <c r="X80" i="1"/>
  <c r="X82" i="1"/>
  <c r="X89" i="1"/>
  <c r="X93" i="1"/>
  <c r="AB96" i="1"/>
  <c r="AB106" i="1" s="1"/>
  <c r="AA107" i="1"/>
  <c r="X107" i="1"/>
  <c r="X111" i="1" s="1"/>
  <c r="W111" i="1"/>
  <c r="AB112" i="1"/>
  <c r="AB118" i="1" s="1"/>
  <c r="AA119" i="1"/>
  <c r="AA124" i="1" s="1"/>
  <c r="X119" i="1"/>
  <c r="X124" i="1" s="1"/>
  <c r="X127" i="1"/>
  <c r="AA133" i="1"/>
  <c r="X133" i="1"/>
  <c r="Z148" i="1"/>
  <c r="AC143" i="1"/>
  <c r="AC148" i="1" s="1"/>
  <c r="Z166" i="1"/>
  <c r="AA171" i="1"/>
  <c r="X171" i="1"/>
  <c r="AC174" i="1"/>
  <c r="AC178" i="1" s="1"/>
  <c r="AA181" i="1"/>
  <c r="X208" i="1"/>
  <c r="X210" i="1"/>
  <c r="Y244" i="1"/>
  <c r="Y257" i="1"/>
  <c r="X257" i="1"/>
  <c r="AA257" i="1"/>
  <c r="AC263" i="1"/>
  <c r="AC276" i="1" s="1"/>
  <c r="Z276" i="1"/>
  <c r="Y273" i="1"/>
  <c r="X273" i="1"/>
  <c r="X310" i="1"/>
  <c r="AA310" i="1"/>
  <c r="AA336" i="1"/>
  <c r="X336" i="1"/>
  <c r="X412" i="1"/>
  <c r="X416" i="1" s="1"/>
  <c r="X418" i="1" s="1"/>
  <c r="AC125" i="1"/>
  <c r="AC130" i="1" s="1"/>
  <c r="AA164" i="1"/>
  <c r="X164" i="1"/>
  <c r="W166" i="1"/>
  <c r="T216" i="1"/>
  <c r="AC54" i="1"/>
  <c r="AC61" i="1" s="1"/>
  <c r="N216" i="1"/>
  <c r="X15" i="1"/>
  <c r="X34" i="1" s="1"/>
  <c r="X19" i="1"/>
  <c r="X22" i="1"/>
  <c r="AA23" i="1"/>
  <c r="X33" i="1"/>
  <c r="AC107" i="1"/>
  <c r="AC111" i="1" s="1"/>
  <c r="X110" i="1"/>
  <c r="W124" i="1"/>
  <c r="AA140" i="1"/>
  <c r="X140" i="1"/>
  <c r="X145" i="1"/>
  <c r="AA147" i="1"/>
  <c r="X147" i="1"/>
  <c r="AC156" i="1"/>
  <c r="AC161" i="1" s="1"/>
  <c r="X163" i="1"/>
  <c r="AB174" i="1"/>
  <c r="AB178" i="1" s="1"/>
  <c r="Z178" i="1"/>
  <c r="AB217" i="1"/>
  <c r="AB237" i="1" s="1"/>
  <c r="AA228" i="1"/>
  <c r="X228" i="1"/>
  <c r="S322" i="1"/>
  <c r="X252" i="1"/>
  <c r="AB263" i="1"/>
  <c r="AB276" i="1" s="1"/>
  <c r="X302" i="1"/>
  <c r="AA302" i="1"/>
  <c r="X334" i="1"/>
  <c r="X347" i="1"/>
  <c r="X375" i="1"/>
  <c r="W411" i="1"/>
  <c r="AA406" i="1"/>
  <c r="AB433" i="1"/>
  <c r="AB442" i="1" s="1"/>
  <c r="W442" i="1"/>
  <c r="AA433" i="1"/>
  <c r="X433" i="1"/>
  <c r="X442" i="1" s="1"/>
  <c r="AA160" i="1"/>
  <c r="X160" i="1"/>
  <c r="AA169" i="1"/>
  <c r="X169" i="1"/>
  <c r="T444" i="1"/>
  <c r="R216" i="1"/>
  <c r="U216" i="1"/>
  <c r="V216" i="1"/>
  <c r="Y15" i="1"/>
  <c r="Y34" i="1" s="1"/>
  <c r="AB107" i="1"/>
  <c r="AB111" i="1" s="1"/>
  <c r="AB119" i="1"/>
  <c r="AB124" i="1" s="1"/>
  <c r="AB125" i="1"/>
  <c r="AB130" i="1" s="1"/>
  <c r="AA128" i="1"/>
  <c r="X128" i="1"/>
  <c r="W173" i="1"/>
  <c r="AA208" i="1"/>
  <c r="T322" i="1"/>
  <c r="AB238" i="1"/>
  <c r="AB247" i="1" s="1"/>
  <c r="Z262" i="1"/>
  <c r="AA271" i="1"/>
  <c r="X271" i="1"/>
  <c r="AA273" i="1"/>
  <c r="AB277" i="1"/>
  <c r="AB288" i="1" s="1"/>
  <c r="AA299" i="1"/>
  <c r="X299" i="1"/>
  <c r="AC323" i="1"/>
  <c r="AC349" i="1" s="1"/>
  <c r="AA332" i="1"/>
  <c r="AA337" i="1"/>
  <c r="X337" i="1"/>
  <c r="AA344" i="1"/>
  <c r="X344" i="1"/>
  <c r="AA372" i="1"/>
  <c r="X372" i="1"/>
  <c r="Z390" i="1"/>
  <c r="AB138" i="1"/>
  <c r="AB142" i="1" s="1"/>
  <c r="W148" i="1"/>
  <c r="AB156" i="1"/>
  <c r="AB161" i="1" s="1"/>
  <c r="W237" i="1"/>
  <c r="Z247" i="1"/>
  <c r="Z364" i="1"/>
  <c r="AA409" i="1"/>
  <c r="X409" i="1"/>
  <c r="Z416" i="1"/>
  <c r="Z432" i="1"/>
  <c r="AC419" i="1"/>
  <c r="AC432" i="1" s="1"/>
  <c r="AA290" i="1"/>
  <c r="Y290" i="1"/>
  <c r="AA295" i="1"/>
  <c r="X295" i="1"/>
  <c r="AA340" i="1"/>
  <c r="X340" i="1"/>
  <c r="AA348" i="1"/>
  <c r="X348" i="1"/>
  <c r="AA368" i="1"/>
  <c r="X368" i="1"/>
  <c r="Z403" i="1"/>
  <c r="U322" i="1"/>
  <c r="P322" i="1"/>
  <c r="Y249" i="1"/>
  <c r="X249" i="1"/>
  <c r="AA287" i="1"/>
  <c r="Y287" i="1"/>
  <c r="X290" i="1"/>
  <c r="X298" i="1"/>
  <c r="AA314" i="1"/>
  <c r="X314" i="1"/>
  <c r="AA327" i="1"/>
  <c r="W349" i="1"/>
  <c r="X329" i="1"/>
  <c r="X343" i="1"/>
  <c r="Q379" i="1"/>
  <c r="P379" i="1"/>
  <c r="AC360" i="1"/>
  <c r="AC364" i="1" s="1"/>
  <c r="AC365" i="1"/>
  <c r="AC377" i="1" s="1"/>
  <c r="X371" i="1"/>
  <c r="AA407" i="1"/>
  <c r="X407" i="1"/>
  <c r="X425" i="1"/>
  <c r="Q322" i="1"/>
  <c r="AA338" i="1"/>
  <c r="X338" i="1"/>
  <c r="AA346" i="1"/>
  <c r="X346" i="1"/>
  <c r="AA366" i="1"/>
  <c r="X366" i="1"/>
  <c r="AA374" i="1"/>
  <c r="X374" i="1"/>
  <c r="AC391" i="1"/>
  <c r="AC403" i="1" s="1"/>
  <c r="AA436" i="1"/>
  <c r="X226" i="1"/>
  <c r="X234" i="1"/>
  <c r="J322" i="1"/>
  <c r="R322" i="1"/>
  <c r="X245" i="1"/>
  <c r="Y266" i="1"/>
  <c r="X272" i="1"/>
  <c r="W288" i="1"/>
  <c r="Y277" i="1"/>
  <c r="Y288" i="1" s="1"/>
  <c r="AA285" i="1"/>
  <c r="X285" i="1"/>
  <c r="W312" i="1"/>
  <c r="W359" i="1"/>
  <c r="AA350" i="1"/>
  <c r="X350" i="1"/>
  <c r="X359" i="1" s="1"/>
  <c r="AA405" i="1"/>
  <c r="X405" i="1"/>
  <c r="X431" i="1"/>
  <c r="AA243" i="1"/>
  <c r="AA254" i="1"/>
  <c r="AA270" i="1"/>
  <c r="AA286" i="1"/>
  <c r="AC289" i="1"/>
  <c r="AC293" i="1" s="1"/>
  <c r="AB294" i="1"/>
  <c r="AB312" i="1" s="1"/>
  <c r="AB323" i="1"/>
  <c r="AB349" i="1" s="1"/>
  <c r="AA360" i="1"/>
  <c r="AB365" i="1"/>
  <c r="AB377" i="1" s="1"/>
  <c r="AA391" i="1"/>
  <c r="U403" i="1"/>
  <c r="U418" i="1" s="1"/>
  <c r="X281" i="1"/>
  <c r="X292" i="1"/>
  <c r="E18" i="5" l="1"/>
  <c r="AC378" i="2"/>
  <c r="E5" i="5"/>
  <c r="E8" i="5" s="1"/>
  <c r="R443" i="2"/>
  <c r="F7" i="5" s="1"/>
  <c r="S415" i="2"/>
  <c r="U117" i="2"/>
  <c r="S44" i="2"/>
  <c r="U136" i="2"/>
  <c r="U33" i="2"/>
  <c r="Q215" i="2"/>
  <c r="Q444" i="2" s="1"/>
  <c r="R402" i="2"/>
  <c r="T33" i="2"/>
  <c r="AB15" i="1"/>
  <c r="AB34" i="1" s="1"/>
  <c r="Y18" i="1"/>
  <c r="X18" i="1"/>
  <c r="U402" i="2"/>
  <c r="S33" i="2"/>
  <c r="R389" i="2"/>
  <c r="S431" i="2"/>
  <c r="U129" i="2"/>
  <c r="S225" i="2"/>
  <c r="S236" i="2" s="1"/>
  <c r="R236" i="2"/>
  <c r="T94" i="2"/>
  <c r="S110" i="2"/>
  <c r="S165" i="2"/>
  <c r="S123" i="2"/>
  <c r="U60" i="2"/>
  <c r="AA214" i="1"/>
  <c r="Z444" i="1"/>
  <c r="AA416" i="1"/>
  <c r="AA61" i="1"/>
  <c r="Y322" i="1"/>
  <c r="AA161" i="1"/>
  <c r="K445" i="1"/>
  <c r="AA142" i="1"/>
  <c r="AA148" i="1"/>
  <c r="AB418" i="1"/>
  <c r="X379" i="1"/>
  <c r="X322" i="1"/>
  <c r="AA237" i="1"/>
  <c r="AA34" i="1"/>
  <c r="M445" i="1"/>
  <c r="Z379" i="1"/>
  <c r="AA359" i="1"/>
  <c r="Q445" i="1"/>
  <c r="AA84" i="1"/>
  <c r="AA111" i="1"/>
  <c r="AA69" i="1"/>
  <c r="AA432" i="1"/>
  <c r="AA403" i="1"/>
  <c r="AA195" i="1"/>
  <c r="AA206" i="1"/>
  <c r="AA262" i="1"/>
  <c r="L445" i="1"/>
  <c r="AA312" i="1"/>
  <c r="W418" i="1"/>
  <c r="AE9" i="1"/>
  <c r="AE216" i="1" s="1"/>
  <c r="O445" i="1"/>
  <c r="AA377" i="1"/>
  <c r="R445" i="1"/>
  <c r="W95" i="1"/>
  <c r="Y216" i="1"/>
  <c r="AA364" i="1"/>
  <c r="W379" i="1"/>
  <c r="AA130" i="1"/>
  <c r="N445" i="1"/>
  <c r="AA106" i="1"/>
  <c r="AA178" i="1"/>
  <c r="AA288" i="1"/>
  <c r="P445" i="1"/>
  <c r="AD380" i="1"/>
  <c r="AD418" i="1" s="1"/>
  <c r="X91" i="1"/>
  <c r="AA95" i="1"/>
  <c r="V445" i="1"/>
  <c r="AA411" i="1"/>
  <c r="AC418" i="1"/>
  <c r="AA320" i="1"/>
  <c r="Z418" i="1"/>
  <c r="AA173" i="1"/>
  <c r="AA137" i="1"/>
  <c r="S292" i="2"/>
  <c r="S213" i="2"/>
  <c r="U441" i="2"/>
  <c r="U443" i="2" s="1"/>
  <c r="S358" i="2"/>
  <c r="S129" i="2"/>
  <c r="S83" i="2"/>
  <c r="U141" i="2"/>
  <c r="S141" i="2"/>
  <c r="T292" i="2"/>
  <c r="U52" i="2"/>
  <c r="U105" i="2"/>
  <c r="S38" i="2"/>
  <c r="U292" i="2"/>
  <c r="S147" i="2"/>
  <c r="S68" i="2"/>
  <c r="L444" i="2"/>
  <c r="S389" i="2"/>
  <c r="K444" i="2"/>
  <c r="S275" i="2"/>
  <c r="T246" i="2"/>
  <c r="S136" i="2"/>
  <c r="S52" i="2"/>
  <c r="J444" i="2"/>
  <c r="S94" i="2"/>
  <c r="U287" i="2"/>
  <c r="X278" i="2" s="1"/>
  <c r="S117" i="2"/>
  <c r="S376" i="2"/>
  <c r="U68" i="2"/>
  <c r="U348" i="2"/>
  <c r="S348" i="2"/>
  <c r="S410" i="2"/>
  <c r="T261" i="2"/>
  <c r="S60" i="2"/>
  <c r="S205" i="2"/>
  <c r="U389" i="2"/>
  <c r="T275" i="2"/>
  <c r="U213" i="2"/>
  <c r="S172" i="2"/>
  <c r="U376" i="2"/>
  <c r="U358" i="2"/>
  <c r="S177" i="2"/>
  <c r="S441" i="2"/>
  <c r="S194" i="2"/>
  <c r="T287" i="2"/>
  <c r="U110" i="2"/>
  <c r="U94" i="2"/>
  <c r="S160" i="2"/>
  <c r="U165" i="2"/>
  <c r="AA349" i="1"/>
  <c r="AB85" i="1"/>
  <c r="AB95" i="1" s="1"/>
  <c r="X216" i="1"/>
  <c r="P444" i="2"/>
  <c r="U194" i="2"/>
  <c r="U172" i="2"/>
  <c r="R378" i="2"/>
  <c r="F5" i="5" s="1"/>
  <c r="H5" i="5" s="1"/>
  <c r="U147" i="2"/>
  <c r="U410" i="2"/>
  <c r="U275" i="2"/>
  <c r="U319" i="2"/>
  <c r="U160" i="2"/>
  <c r="S105" i="2"/>
  <c r="S319" i="2"/>
  <c r="U123" i="2"/>
  <c r="R215" i="2"/>
  <c r="F3" i="5" s="1"/>
  <c r="S391" i="2"/>
  <c r="S402" i="2" s="1"/>
  <c r="U311" i="2"/>
  <c r="S300" i="2"/>
  <c r="S246" i="2"/>
  <c r="S261" i="2"/>
  <c r="S154" i="2"/>
  <c r="S287" i="2"/>
  <c r="U205" i="2"/>
  <c r="U246" i="2"/>
  <c r="U261" i="2"/>
  <c r="U154" i="2"/>
  <c r="R311" i="2"/>
  <c r="U83" i="2"/>
  <c r="U236" i="2"/>
  <c r="AE380" i="1"/>
  <c r="AE418" i="1" s="1"/>
  <c r="AA276" i="1"/>
  <c r="W444" i="1"/>
  <c r="AC322" i="1"/>
  <c r="AE217" i="1"/>
  <c r="AE322" i="1" s="1"/>
  <c r="Z216" i="1"/>
  <c r="S445" i="1"/>
  <c r="X444" i="1"/>
  <c r="Z322" i="1"/>
  <c r="AD419" i="1"/>
  <c r="AB444" i="1"/>
  <c r="AA293" i="1"/>
  <c r="AA247" i="1"/>
  <c r="AE419" i="1"/>
  <c r="AC444" i="1"/>
  <c r="AE323" i="1"/>
  <c r="AE379" i="1" s="1"/>
  <c r="AC379" i="1"/>
  <c r="AB40" i="1"/>
  <c r="AB53" i="1" s="1"/>
  <c r="AA45" i="1"/>
  <c r="AA53" i="1" s="1"/>
  <c r="X45" i="1"/>
  <c r="W53" i="1"/>
  <c r="AB379" i="1"/>
  <c r="AD323" i="1"/>
  <c r="AD379" i="1" s="1"/>
  <c r="T445" i="1"/>
  <c r="J445" i="1"/>
  <c r="W447" i="1" s="1"/>
  <c r="AC216" i="1"/>
  <c r="W322" i="1"/>
  <c r="U445" i="1"/>
  <c r="AA442" i="1"/>
  <c r="AD217" i="1"/>
  <c r="AD322" i="1" s="1"/>
  <c r="AB322" i="1"/>
  <c r="AA166" i="1"/>
  <c r="R417" i="2" l="1"/>
  <c r="F6" i="5" s="1"/>
  <c r="S215" i="2"/>
  <c r="I5" i="5"/>
  <c r="U215" i="2"/>
  <c r="Z137" i="2"/>
  <c r="Z141" i="2" s="1"/>
  <c r="Z215" i="2" s="1"/>
  <c r="AC215" i="2" s="1"/>
  <c r="W215" i="2"/>
  <c r="G3" i="5" s="1"/>
  <c r="Z278" i="2"/>
  <c r="Z287" i="2" s="1"/>
  <c r="Z321" i="2" s="1"/>
  <c r="AC321" i="2" s="1"/>
  <c r="X287" i="2"/>
  <c r="X321" i="2" s="1"/>
  <c r="S443" i="2"/>
  <c r="T215" i="2"/>
  <c r="S417" i="2"/>
  <c r="U417" i="2"/>
  <c r="Y388" i="2"/>
  <c r="R321" i="2"/>
  <c r="S311" i="2"/>
  <c r="S321" i="2" s="1"/>
  <c r="Y445" i="1"/>
  <c r="AA444" i="1"/>
  <c r="AA418" i="1"/>
  <c r="AE445" i="1"/>
  <c r="W216" i="1"/>
  <c r="W445" i="1" s="1"/>
  <c r="W448" i="1" s="1"/>
  <c r="AA322" i="1"/>
  <c r="AA379" i="1"/>
  <c r="Z445" i="1"/>
  <c r="AA216" i="1"/>
  <c r="AB216" i="1"/>
  <c r="AB445" i="1" s="1"/>
  <c r="S378" i="2"/>
  <c r="T321" i="2"/>
  <c r="U378" i="2"/>
  <c r="X445" i="1"/>
  <c r="AD9" i="1"/>
  <c r="AD216" i="1" s="1"/>
  <c r="AD445" i="1" s="1"/>
  <c r="U321" i="2"/>
  <c r="AC445" i="1"/>
  <c r="W444" i="2" l="1"/>
  <c r="X444" i="2"/>
  <c r="R444" i="2"/>
  <c r="F4" i="5"/>
  <c r="Y389" i="2"/>
  <c r="Y417" i="2" s="1"/>
  <c r="Z388" i="2"/>
  <c r="Z389" i="2" s="1"/>
  <c r="Z417" i="2" s="1"/>
  <c r="T444" i="2"/>
  <c r="AA445" i="1"/>
  <c r="W449" i="1" s="1"/>
  <c r="W450" i="1" s="1"/>
  <c r="U444" i="2"/>
  <c r="S444" i="2"/>
  <c r="I6" i="5" l="1"/>
  <c r="H6" i="5"/>
  <c r="H4" i="5"/>
  <c r="I4" i="5"/>
  <c r="F8" i="5"/>
  <c r="I3" i="5"/>
  <c r="H3" i="5"/>
  <c r="Z444" i="2"/>
  <c r="Y443" i="2" l="1"/>
  <c r="J447" i="2" l="1"/>
  <c r="J448" i="2" s="1"/>
  <c r="J449" i="2" s="1"/>
  <c r="Y444" i="2"/>
  <c r="U445" i="2" s="1"/>
  <c r="H7" i="5" l="1"/>
  <c r="I7" i="5"/>
  <c r="I8" i="5" s="1"/>
  <c r="G8" i="5"/>
  <c r="AD37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tc={80C4AFA7-0697-A04F-AA68-9D55A201EACA}</author>
    <author>tc={DD590EF7-A292-0F49-B75C-364CB924DFBB}</author>
    <author>tc={048BD44F-55A4-4144-9DAF-316AE423BAE0}</author>
  </authors>
  <commentList>
    <comment ref="Y225" authorId="0" shapeId="0" xr:uid="{80C4AFA7-0697-A04F-AA68-9D55A201EACA}">
      <text>
        <t>[Threaded comment]
Your version of Excel allows you to read this threaded comment; however, any edits to it will get removed if the file is opened in a newer version of Excel. Learn more: https://go.microsoft.com/fwlink/?linkid=870924
Comment:
    27,000 minus 6,000 to be transferred to B35 and B36</t>
      </text>
    </comment>
    <comment ref="X277" authorId="1" shapeId="0" xr:uid="{DD590EF7-A292-0F49-B75C-364CB924DFBB}">
      <text>
        <t xml:space="preserve">[Threaded comment]
Your version of Excel allows you to read this threaded comment; however, any edits to it will get removed if the file is opened in a newer version of Excel. Learn more: https://go.microsoft.com/fwlink/?linkid=870924
Comment:
    Savings from 2023
</t>
      </text>
    </comment>
    <comment ref="X280" authorId="2" shapeId="0" xr:uid="{048BD44F-55A4-4144-9DAF-316AE423BAE0}">
      <text>
        <t>[Threaded comment]
Your version of Excel allows you to read this threaded comment; however, any edits to it will get removed if the file is opened in a newer version of Excel. Learn more: https://go.microsoft.com/fwlink/?linkid=870924
Comment:
    Savings from 2023 = USD4872.46+Variance = USD3000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tc={16A378FE-55F3-44F4-85AE-1D850FF96125}</author>
  </authors>
  <commentList>
    <comment ref="H12" authorId="0" shapeId="0" xr:uid="{16A378FE-55F3-44F4-85AE-1D850FF96125}">
      <text>
        <t>[Threaded comment]
Your version of Excel allows you to read this threaded comment; however, any edits to it will get removed if the file is opened in a newer version of Excel. Learn more: https://go.microsoft.com/fwlink/?linkid=870924
Comment:
    Please provide the co-financing expenditure for each year till date as a separate column</t>
      </text>
    </comment>
  </commentList>
</comments>
</file>

<file path=xl/sharedStrings.xml><?xml version="1.0" encoding="utf-8"?>
<sst xmlns="http://schemas.openxmlformats.org/spreadsheetml/2006/main" count="5479" uniqueCount="1165">
  <si>
    <t xml:space="preserve"> Budget Plan: Climate Information Services for Resilient Development in Vanuatu Project (Van KIRAP) (2018 - 2023)</t>
  </si>
  <si>
    <t>CLIMATE INFORMATION SERVICES FOR RESILIENT DEVELOPMENT IN VANUATU: BUDGET 2022 - 2023</t>
  </si>
  <si>
    <t xml:space="preserve"> </t>
  </si>
  <si>
    <t>Activity</t>
  </si>
  <si>
    <t>Funding Source</t>
  </si>
  <si>
    <t>Lead / Recipient of Funds</t>
  </si>
  <si>
    <t>Project Budget</t>
  </si>
  <si>
    <t xml:space="preserve">ANNUAL BUDGET 
</t>
  </si>
  <si>
    <t>Budget Notes</t>
  </si>
  <si>
    <t xml:space="preserve">Component  </t>
  </si>
  <si>
    <t>Output</t>
  </si>
  <si>
    <t>Budget Account Description</t>
  </si>
  <si>
    <t>Unit</t>
  </si>
  <si>
    <t># of Unit</t>
  </si>
  <si>
    <t>Unit Cost</t>
  </si>
  <si>
    <t>Total Budget
(per sub-outcome)</t>
  </si>
  <si>
    <t xml:space="preserve">Total Budget
(per outcome) </t>
  </si>
  <si>
    <t>GCF</t>
  </si>
  <si>
    <t>Co-Finance</t>
  </si>
  <si>
    <t>2018 - 2019</t>
  </si>
  <si>
    <t>Carry Forward 
(as at 31 Dec 2021)</t>
  </si>
  <si>
    <t>TOTAL</t>
  </si>
  <si>
    <t>Variance</t>
  </si>
  <si>
    <t>Co-finance</t>
  </si>
  <si>
    <t>Component 1: Strengthen the VMGD platform to provide quality climate data and information for CIS</t>
  </si>
  <si>
    <t xml:space="preserve">Output 1.1 Strengthened climate information services through improved data and interfaces
</t>
  </si>
  <si>
    <t xml:space="preserve">1.1.1: Improving the currency, functionality and visualization of climate data records for Vanuatu
Sub-activity 1.1.1.1
Update tropical cyclone and high-quality climate data for online Pacific Climate Change portals and VMGD centralised data management system (CliDE)
</t>
  </si>
  <si>
    <t>BOM</t>
  </si>
  <si>
    <t>Staff</t>
  </si>
  <si>
    <t>Months</t>
  </si>
  <si>
    <t>A1</t>
  </si>
  <si>
    <t>Delivery Partner</t>
  </si>
  <si>
    <t>A2</t>
  </si>
  <si>
    <t>Country</t>
  </si>
  <si>
    <t>VMGD</t>
  </si>
  <si>
    <t>A3</t>
  </si>
  <si>
    <t>Travel - International</t>
  </si>
  <si>
    <t>Trip</t>
  </si>
  <si>
    <t>A4</t>
  </si>
  <si>
    <t>Workshop / Training / Conference</t>
  </si>
  <si>
    <t>Event</t>
  </si>
  <si>
    <t>A5</t>
  </si>
  <si>
    <t>1.1.1: Improving the currency, functionality and visualization of climate data records for Vanuatu
Sub-activity 1.1.1.2
Digitise historic climate records, enter into CliDE and quality assurance</t>
  </si>
  <si>
    <t>Staff (Data Officer)</t>
  </si>
  <si>
    <t>Year</t>
  </si>
  <si>
    <t>A6</t>
  </si>
  <si>
    <t>Staff (Climate Officer)</t>
  </si>
  <si>
    <t>A7</t>
  </si>
  <si>
    <t>A8</t>
  </si>
  <si>
    <t>A9</t>
  </si>
  <si>
    <t>A10</t>
  </si>
  <si>
    <t>A11</t>
  </si>
  <si>
    <t>A12</t>
  </si>
  <si>
    <t>Other</t>
  </si>
  <si>
    <t>A13</t>
  </si>
  <si>
    <t>Trips</t>
  </si>
  <si>
    <t>A14</t>
  </si>
  <si>
    <t>Consultant - Individual - International</t>
  </si>
  <si>
    <t>Days</t>
  </si>
  <si>
    <t>A15</t>
  </si>
  <si>
    <t>A16</t>
  </si>
  <si>
    <t>IT Equipment</t>
  </si>
  <si>
    <t>Item</t>
  </si>
  <si>
    <t>A17</t>
  </si>
  <si>
    <t>Equipment</t>
  </si>
  <si>
    <t>A18</t>
  </si>
  <si>
    <t>Consumables</t>
  </si>
  <si>
    <t>A19</t>
  </si>
  <si>
    <t>A20</t>
  </si>
  <si>
    <t>Travel – Local</t>
  </si>
  <si>
    <t>A21</t>
  </si>
  <si>
    <t>Software</t>
  </si>
  <si>
    <t>A22</t>
  </si>
  <si>
    <t>Office Supplies</t>
  </si>
  <si>
    <t>A23</t>
  </si>
  <si>
    <t>Sub-activity 1.1.1.3
Updated standardised WMO climate extreme indices</t>
  </si>
  <si>
    <t>A24</t>
  </si>
  <si>
    <t>A25</t>
  </si>
  <si>
    <t>A26</t>
  </si>
  <si>
    <t>A27</t>
  </si>
  <si>
    <t xml:space="preserve">Activity 1.1.2
Building and strengthening user interfaces to support CIS Decision-making 
Sub-activity 1.1.2.1
 Upgrade VMGD IT platform including computing hardware and software 
</t>
  </si>
  <si>
    <t>A28</t>
  </si>
  <si>
    <t>A29</t>
  </si>
  <si>
    <t>A30</t>
  </si>
  <si>
    <t>A31</t>
  </si>
  <si>
    <t>A32</t>
  </si>
  <si>
    <t>Package</t>
  </si>
  <si>
    <t>A33</t>
  </si>
  <si>
    <t>A34</t>
  </si>
  <si>
    <t>A35</t>
  </si>
  <si>
    <t>A36</t>
  </si>
  <si>
    <t>A37</t>
  </si>
  <si>
    <t>A38</t>
  </si>
  <si>
    <t>A39</t>
  </si>
  <si>
    <t>A40</t>
  </si>
  <si>
    <t xml:space="preserve">Activity 1.1.2
Building and strengthening user interfaces to support CIS Decision-making 
Sub-activity 1.1.2.2.
Technical support for VMGD in developing CLEWS-based software application development and ground-truthing CLEWS and outreach to Next/End-Users
</t>
  </si>
  <si>
    <t>A41</t>
  </si>
  <si>
    <t>A42</t>
  </si>
  <si>
    <t>A43</t>
  </si>
  <si>
    <t>A44</t>
  </si>
  <si>
    <t>A45</t>
  </si>
  <si>
    <t>A46</t>
  </si>
  <si>
    <t>A47</t>
  </si>
  <si>
    <t xml:space="preserve">Activity 1.1.2
Building and strengthening user interfaces to support CIS Decision-making
Sub-activity 1.1.2.3
Vanuatu Climate Futures portal for delivery of climate change projections 
</t>
  </si>
  <si>
    <t>CSIRO</t>
  </si>
  <si>
    <t>A48</t>
  </si>
  <si>
    <t>A49</t>
  </si>
  <si>
    <t>A50</t>
  </si>
  <si>
    <t>A51</t>
  </si>
  <si>
    <t>A52</t>
  </si>
  <si>
    <t>A53</t>
  </si>
  <si>
    <t>A54</t>
  </si>
  <si>
    <t xml:space="preserve"> Output 1.2. Research, modelling and prediction to support CIS tools and uptake</t>
  </si>
  <si>
    <t>Activity 1.2.1. 
Upgrading and expanding the Vanuatu observational networks
Sub-Activity 1.2.1.1. 
Enhancing stream monitoring capabilities in the Sarakata River catchment</t>
  </si>
  <si>
    <t>A55</t>
  </si>
  <si>
    <t>A56</t>
  </si>
  <si>
    <t>A57</t>
  </si>
  <si>
    <t>A58</t>
  </si>
  <si>
    <t>Professional Services – Companies/Firm</t>
  </si>
  <si>
    <t>A59</t>
  </si>
  <si>
    <t>Consultant - Individual - Local</t>
  </si>
  <si>
    <t>Supp 2022_1</t>
  </si>
  <si>
    <t>A60</t>
  </si>
  <si>
    <t>Freight / Transport</t>
  </si>
  <si>
    <t>A61</t>
  </si>
  <si>
    <t>A62</t>
  </si>
  <si>
    <t>A63</t>
  </si>
  <si>
    <t>Field Costs</t>
  </si>
  <si>
    <t>A64</t>
  </si>
  <si>
    <t>A65</t>
  </si>
  <si>
    <t>Community Consultations</t>
  </si>
  <si>
    <t>A66</t>
  </si>
  <si>
    <t>Awareness raising, Tools &amp; Products</t>
  </si>
  <si>
    <t>A67</t>
  </si>
  <si>
    <t>Activity 1.2.1. 
Upgrading and expanding the Vanuatu observational networks
Sub-Activity 1.2.1.2. 
Ocean monitoring for CLEWS enhancement and inundation modelling</t>
  </si>
  <si>
    <t>A68</t>
  </si>
  <si>
    <t>A69</t>
  </si>
  <si>
    <t>A70</t>
  </si>
  <si>
    <t>A71</t>
  </si>
  <si>
    <t>A72</t>
  </si>
  <si>
    <t>A73</t>
  </si>
  <si>
    <t>A74</t>
  </si>
  <si>
    <t>A75</t>
  </si>
  <si>
    <t>A76</t>
  </si>
  <si>
    <t>A77</t>
  </si>
  <si>
    <t>Activity 1.2.1. 
Upgrading and expanding the Vanuatu observational networks
Sub-Activity 1.2.1.3
Expanding Vanuatu's rainfall monitoring system</t>
  </si>
  <si>
    <t>A78</t>
  </si>
  <si>
    <t>A79</t>
  </si>
  <si>
    <t>Maintenance</t>
  </si>
  <si>
    <t>A80</t>
  </si>
  <si>
    <t>A81</t>
  </si>
  <si>
    <t>A82</t>
  </si>
  <si>
    <t>A83</t>
  </si>
  <si>
    <t>A84</t>
  </si>
  <si>
    <t>Local labour</t>
  </si>
  <si>
    <t>Site</t>
  </si>
  <si>
    <t>A85</t>
  </si>
  <si>
    <t>A86</t>
  </si>
  <si>
    <t>A87</t>
  </si>
  <si>
    <t>Activity 1.2.1. 
Upgrading and expanding the Vanuatu observational networks
Sub-Activity 1.2.1.4
Expanding Vanuatu's EWS capability</t>
  </si>
  <si>
    <t>A88</t>
  </si>
  <si>
    <t>SPREP</t>
  </si>
  <si>
    <t>A89</t>
  </si>
  <si>
    <t>A90</t>
  </si>
  <si>
    <t>A91</t>
  </si>
  <si>
    <t>Activity 1.2.2. 
Improved utility and function of seasonal climate forecasts
Sub-activity 1.2.2.1
Develop new seasonal impact forecasts for priority sectors</t>
  </si>
  <si>
    <t>A92</t>
  </si>
  <si>
    <t>A93</t>
  </si>
  <si>
    <t>A94</t>
  </si>
  <si>
    <t>A95</t>
  </si>
  <si>
    <t>A96</t>
  </si>
  <si>
    <t>A97</t>
  </si>
  <si>
    <t>Activity 1.2.2. 
Improved utility and function of seasonal climate forecasts
Sub-activity 1.2.2.2
New downscaled datasets developed and interfaced with sector-defined CIS</t>
  </si>
  <si>
    <t>Month</t>
  </si>
  <si>
    <t>A98</t>
  </si>
  <si>
    <t>A99</t>
  </si>
  <si>
    <t>A100</t>
  </si>
  <si>
    <t>A101</t>
  </si>
  <si>
    <t>A102</t>
  </si>
  <si>
    <t>Activity 1.2.3.
Long-term projections for key climate variables and climate extremes for Vanuatu
Sub-activity 1.2.3.1 
Developing multi-model projections for key climate variables in Vanuatu</t>
  </si>
  <si>
    <t>A103</t>
  </si>
  <si>
    <t>A104</t>
  </si>
  <si>
    <t>A105</t>
  </si>
  <si>
    <t>A106</t>
  </si>
  <si>
    <t>Activity 1.2.3.
Long-term projections for key climate variables and climate extremes for Vanuatu
Sub-activity 1.2.3.2. 
Downscaled projections ground-truthed and outreach to target next/end users</t>
  </si>
  <si>
    <t>A107</t>
  </si>
  <si>
    <t>A108</t>
  </si>
  <si>
    <t>A109</t>
  </si>
  <si>
    <t>A110</t>
  </si>
  <si>
    <t>A111</t>
  </si>
  <si>
    <t>A112</t>
  </si>
  <si>
    <t>Activity 1.2.3.
Long-term projections for key climate variables and climate extremes for Vanuatu
Sub-activity 1.2.3.3. 
Apply Global Climate Model projections to observed datasets</t>
  </si>
  <si>
    <t>A113</t>
  </si>
  <si>
    <t>A114</t>
  </si>
  <si>
    <t>A115</t>
  </si>
  <si>
    <t>A116</t>
  </si>
  <si>
    <t>Activity 1.2.3.
Long-term projections for key climate variables and climate extremes for Vanuatu
Sub-activity 1.2.3.4. 
Synthesis and report application-ready data in context of risk assessments for sectors, outreach to next / end users</t>
  </si>
  <si>
    <t>A117</t>
  </si>
  <si>
    <t>A118</t>
  </si>
  <si>
    <t>A119</t>
  </si>
  <si>
    <t>A120</t>
  </si>
  <si>
    <t>Workshop</t>
  </si>
  <si>
    <t>A121</t>
  </si>
  <si>
    <t>Activity 1.2.4. 
Risk-based coastal and other climate hazard analysis and mapping
Sub-activity 1.2.4.1
Mapping climate hazard 'hotspot' exposure</t>
  </si>
  <si>
    <t>A122</t>
  </si>
  <si>
    <t>A123</t>
  </si>
  <si>
    <t>A124</t>
  </si>
  <si>
    <t>A125</t>
  </si>
  <si>
    <t>Supp 2022_2</t>
  </si>
  <si>
    <t>A126</t>
  </si>
  <si>
    <t>Activity 1.2.4. 
Risk-based coastal and other climate hazard analysis and mapping
Sub-activity 1.2.4.2
Developing projected extreme sea level probabilities for designated coastal 'hotspots'</t>
  </si>
  <si>
    <t>32.16</t>
  </si>
  <si>
    <t>A127</t>
  </si>
  <si>
    <t>A128</t>
  </si>
  <si>
    <t>4</t>
  </si>
  <si>
    <t>A129</t>
  </si>
  <si>
    <t>8</t>
  </si>
  <si>
    <t>A130</t>
  </si>
  <si>
    <t>A131</t>
  </si>
  <si>
    <t>Activity 1.2.5
Vulnerability mapping of the coastal zone in Vanuatu
Activity 1.2.5.1
Develop biogeochemical and hydrodynamic model for coastal areas of Vanuatu</t>
  </si>
  <si>
    <t>A132</t>
  </si>
  <si>
    <t>A133</t>
  </si>
  <si>
    <t>A134</t>
  </si>
  <si>
    <t>A135</t>
  </si>
  <si>
    <t>Activity 1.2.5
Vulnerability mapping of the coastal zone in Vanuatu
Activity 1.2.5.2
Develop ocean acidification and marine impact projection maps</t>
  </si>
  <si>
    <t>A136</t>
  </si>
  <si>
    <t>A137</t>
  </si>
  <si>
    <t>A138</t>
  </si>
  <si>
    <t>A139</t>
  </si>
  <si>
    <t>A140</t>
  </si>
  <si>
    <t>A141</t>
  </si>
  <si>
    <t>Activity 1.2.6.
Developing tailored Agro-met predictions for target cropping systems
Sub-activity 1.2.6.1
Develop Agro-met information portal including new on-line IT infrastructure and software (VaCSA prototype)</t>
  </si>
  <si>
    <t>APCC</t>
  </si>
  <si>
    <t>A142</t>
  </si>
  <si>
    <t>A143</t>
  </si>
  <si>
    <t>A144</t>
  </si>
  <si>
    <t>A145</t>
  </si>
  <si>
    <t xml:space="preserve">Activity 1.2.6.
Developing tailored Agro-met predictions for target cropping systems
Sub-activity 1.2.6.2 
Collecting, modeling, analysis and reporting of agro-met data to determine optimal agriculture crop planning options </t>
  </si>
  <si>
    <t>A146</t>
  </si>
  <si>
    <t>A147</t>
  </si>
  <si>
    <t>A148</t>
  </si>
  <si>
    <t>A149</t>
  </si>
  <si>
    <t>A150</t>
  </si>
  <si>
    <t>A151</t>
  </si>
  <si>
    <t>A152</t>
  </si>
  <si>
    <t>A153</t>
  </si>
  <si>
    <t>A154</t>
  </si>
  <si>
    <t>A155</t>
  </si>
  <si>
    <t>A156</t>
  </si>
  <si>
    <t>A157</t>
  </si>
  <si>
    <t>A158</t>
  </si>
  <si>
    <t>A159</t>
  </si>
  <si>
    <t>A160</t>
  </si>
  <si>
    <t>A161</t>
  </si>
  <si>
    <t xml:space="preserve">Activity 1.2.6.
Developing tailored Agro-met predictions for target cropping systems
Sub-activity 1.2.6.3 
Undertaking field trials and validation prior to incorporation into DSS delivery platforms, ground-truthing and outreach with target Next/End-Users </t>
  </si>
  <si>
    <t>A162</t>
  </si>
  <si>
    <t>A163</t>
  </si>
  <si>
    <t>Events</t>
  </si>
  <si>
    <t>A164</t>
  </si>
  <si>
    <t>A165</t>
  </si>
  <si>
    <t>A166</t>
  </si>
  <si>
    <t>A167</t>
  </si>
  <si>
    <t>A168</t>
  </si>
  <si>
    <t>Field Trials</t>
  </si>
  <si>
    <t>A169</t>
  </si>
  <si>
    <t>A170</t>
  </si>
  <si>
    <t>A171</t>
  </si>
  <si>
    <t>Activity 1.2.6.
Developing tailored Agro-met predictions for target cropping systems
Sub-activity 1.2.6.4
Develop the crop-climate diary customised for agro-met data collection</t>
  </si>
  <si>
    <t>A172</t>
  </si>
  <si>
    <t>A173</t>
  </si>
  <si>
    <t>A174</t>
  </si>
  <si>
    <t>A175</t>
  </si>
  <si>
    <t>A176</t>
  </si>
  <si>
    <t>A177</t>
  </si>
  <si>
    <t>A178</t>
  </si>
  <si>
    <t>Contingency</t>
  </si>
  <si>
    <t>A179</t>
  </si>
  <si>
    <t>Total Outcome Budget</t>
  </si>
  <si>
    <t>Component 2: Demonstrating the value of CIS at the Sectoral and Community levels</t>
  </si>
  <si>
    <t>Output 2.1 - CIS implemented within target sectors</t>
  </si>
  <si>
    <t>Activity 2.1.1.
Investigating the climate sensitivity, potential impacts and vulnerability of food crops in Vanuatu to secure future food security</t>
  </si>
  <si>
    <t>Agriculture</t>
  </si>
  <si>
    <t>B1</t>
  </si>
  <si>
    <t>People</t>
  </si>
  <si>
    <t>B2</t>
  </si>
  <si>
    <t>B3</t>
  </si>
  <si>
    <t>B4</t>
  </si>
  <si>
    <t>B5</t>
  </si>
  <si>
    <t>B6</t>
  </si>
  <si>
    <t>B7</t>
  </si>
  <si>
    <t>B8</t>
  </si>
  <si>
    <t>B9</t>
  </si>
  <si>
    <t>B10</t>
  </si>
  <si>
    <t>B11</t>
  </si>
  <si>
    <t>B12</t>
  </si>
  <si>
    <t>B13</t>
  </si>
  <si>
    <t>B14</t>
  </si>
  <si>
    <t>B15</t>
  </si>
  <si>
    <t>B16</t>
  </si>
  <si>
    <t>B17</t>
  </si>
  <si>
    <t>B18</t>
  </si>
  <si>
    <t>B19</t>
  </si>
  <si>
    <t>B20</t>
  </si>
  <si>
    <t>Activity 2.1.2
Improving food security in Vanuatu by using climate information to prepare for and respond to temperature impacts on coastal fisheries</t>
  </si>
  <si>
    <t>GCf</t>
  </si>
  <si>
    <t>Fisheries</t>
  </si>
  <si>
    <t>B21</t>
  </si>
  <si>
    <t>B22</t>
  </si>
  <si>
    <t>B23</t>
  </si>
  <si>
    <t>B24</t>
  </si>
  <si>
    <t>B25</t>
  </si>
  <si>
    <t>B26</t>
  </si>
  <si>
    <t>B27</t>
  </si>
  <si>
    <t>B28</t>
  </si>
  <si>
    <t>B29</t>
  </si>
  <si>
    <t>Activity 2.1.3
Upgrade the standard infrastructure design in the Vanuatu Public Works Department using climate data on low–lying ‘hotspot’ and coastal erosion areas</t>
  </si>
  <si>
    <t>Infrastructure</t>
  </si>
  <si>
    <t>B30</t>
  </si>
  <si>
    <t>B31</t>
  </si>
  <si>
    <t>B32</t>
  </si>
  <si>
    <t>B33</t>
  </si>
  <si>
    <t>B34</t>
  </si>
  <si>
    <t>B35</t>
  </si>
  <si>
    <t>B36</t>
  </si>
  <si>
    <t>B37</t>
  </si>
  <si>
    <t>B38</t>
  </si>
  <si>
    <t>B39</t>
  </si>
  <si>
    <t>B40</t>
  </si>
  <si>
    <t>B41</t>
  </si>
  <si>
    <t>Knowledge Management &amp; Communication</t>
  </si>
  <si>
    <t>B42</t>
  </si>
  <si>
    <t>Activity 2.1.4
Increasing climate resilience in flood prone areas - Sarakata Flood Plain</t>
  </si>
  <si>
    <t>Water</t>
  </si>
  <si>
    <t>B43</t>
  </si>
  <si>
    <t>B44</t>
  </si>
  <si>
    <t>Supp 2022_3</t>
  </si>
  <si>
    <t>B45</t>
  </si>
  <si>
    <t>B46</t>
  </si>
  <si>
    <t>B47</t>
  </si>
  <si>
    <t>B48</t>
  </si>
  <si>
    <t>B49</t>
  </si>
  <si>
    <t>B50</t>
  </si>
  <si>
    <t>B51</t>
  </si>
  <si>
    <t>B52</t>
  </si>
  <si>
    <t>B53</t>
  </si>
  <si>
    <t>B54</t>
  </si>
  <si>
    <t>Activity 2.1.5
Minimizing the impacts of climate variability and change on tourism development through supporting adaptation</t>
  </si>
  <si>
    <t>Tourism</t>
  </si>
  <si>
    <t>B55</t>
  </si>
  <si>
    <t>B56</t>
  </si>
  <si>
    <t>Supp 2022_4</t>
  </si>
  <si>
    <t>B57</t>
  </si>
  <si>
    <t>B58</t>
  </si>
  <si>
    <t>B59</t>
  </si>
  <si>
    <t>B60</t>
  </si>
  <si>
    <t>B61</t>
  </si>
  <si>
    <t>B62</t>
  </si>
  <si>
    <t>B63</t>
  </si>
  <si>
    <t>B64</t>
  </si>
  <si>
    <t xml:space="preserve">Activity 2.1.6 Site Assessments costs </t>
  </si>
  <si>
    <t>B65</t>
  </si>
  <si>
    <t>Sectors</t>
  </si>
  <si>
    <t>B66</t>
  </si>
  <si>
    <t>B67</t>
  </si>
  <si>
    <t>B68</t>
  </si>
  <si>
    <t>Output 2.2 - CIS is incorporated into community practices</t>
  </si>
  <si>
    <t>Activity 2.2.1
Establishing community CIS sites</t>
  </si>
  <si>
    <t>B69</t>
  </si>
  <si>
    <t>B70</t>
  </si>
  <si>
    <t>Community Climate Centres</t>
  </si>
  <si>
    <t>B71</t>
  </si>
  <si>
    <t>B72</t>
  </si>
  <si>
    <t>B73</t>
  </si>
  <si>
    <t>B74</t>
  </si>
  <si>
    <t>B75</t>
  </si>
  <si>
    <t>B76</t>
  </si>
  <si>
    <t>B77</t>
  </si>
  <si>
    <t>B78</t>
  </si>
  <si>
    <t>B79</t>
  </si>
  <si>
    <t>B80</t>
  </si>
  <si>
    <t>B81</t>
  </si>
  <si>
    <t>B82</t>
  </si>
  <si>
    <t>B83</t>
  </si>
  <si>
    <t>B84</t>
  </si>
  <si>
    <t>B85</t>
  </si>
  <si>
    <t>B86</t>
  </si>
  <si>
    <t xml:space="preserve">Output 2.3 - A socio-economic benefit analysis for Vanuatu using the customised Pacific CIS cost-benefit Framework is produced
</t>
  </si>
  <si>
    <t xml:space="preserve">Activity 2.3.1.
Undertake a socio-economic benefit analysis for Vanuatu using the customized Pacific CIS Cost-benefit Framework
</t>
  </si>
  <si>
    <t>14.29</t>
  </si>
  <si>
    <t>B87</t>
  </si>
  <si>
    <t>B88</t>
  </si>
  <si>
    <t>B89</t>
  </si>
  <si>
    <t>12</t>
  </si>
  <si>
    <t>B90</t>
  </si>
  <si>
    <t>B91</t>
  </si>
  <si>
    <t>B92</t>
  </si>
  <si>
    <t>B93</t>
  </si>
  <si>
    <t>B94</t>
  </si>
  <si>
    <t>Component 3: Development of CIS tools and engaging with stakeholders through outreach and communication</t>
  </si>
  <si>
    <t>Output 3.1. Traditional knowledge is incorporated into climate information services in Vanuatu</t>
  </si>
  <si>
    <t>Activity 3.1.1
 Integrating Traditional Knowledge into CIS tools and information</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</si>
  <si>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</si>
  <si>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</si>
  <si>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</si>
  <si>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</si>
  <si>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</si>
  <si>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</si>
  <si>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</si>
  <si>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</si>
  <si>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</si>
  <si>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</si>
  <si>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</si>
  <si>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</si>
  <si>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</si>
  <si>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</si>
  <si>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</si>
  <si>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</si>
  <si>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</si>
  <si>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</si>
  <si>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</si>
  <si>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</si>
  <si>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</si>
  <si>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</si>
  <si>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</si>
  <si>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</si>
  <si>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</si>
  <si>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</si>
  <si>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Output 3.2. Development of CIS tools and information products</t>
  </si>
  <si>
    <t xml:space="preserve">Activity 3.2.1. 
Developing CIS tools and information products for target end-users 
Sub-activity 3.2.1.1
Customising CIS decision support systems (DSS) for target sectors and communities </t>
  </si>
  <si>
    <t>C27</t>
  </si>
  <si>
    <t>C28</t>
  </si>
  <si>
    <t>Items</t>
  </si>
  <si>
    <t>C29</t>
  </si>
  <si>
    <t>C30</t>
  </si>
  <si>
    <t>C31</t>
  </si>
  <si>
    <t>C32</t>
  </si>
  <si>
    <t>C33</t>
  </si>
  <si>
    <t>C34</t>
  </si>
  <si>
    <t>Staff - CIS Officer</t>
  </si>
  <si>
    <t>Salary</t>
  </si>
  <si>
    <t>Supp #1</t>
  </si>
  <si>
    <t xml:space="preserve">Activity 3.2.1. 
Developing CIS tools and information products for target end-users 
Sub-activity 3.2.1.2 
Suite of forecast-based CIS ground-truthed, operationalised and outreached with Next/End-Users
 </t>
  </si>
  <si>
    <t>C35</t>
  </si>
  <si>
    <t>C36</t>
  </si>
  <si>
    <t>C37</t>
  </si>
  <si>
    <t>C38</t>
  </si>
  <si>
    <t>Output 3.3. Implementing knowledgement management, engagement and outreach across Sectors and Communities</t>
  </si>
  <si>
    <t xml:space="preserve">Activity 3.3.1
Knowledge mangement, communication and outreach </t>
  </si>
  <si>
    <t>C39</t>
  </si>
  <si>
    <t>C40</t>
  </si>
  <si>
    <t>C41</t>
  </si>
  <si>
    <t>C42</t>
  </si>
  <si>
    <t>C43</t>
  </si>
  <si>
    <t>C44</t>
  </si>
  <si>
    <t>C45</t>
  </si>
  <si>
    <t>C46</t>
  </si>
  <si>
    <t>C47</t>
  </si>
  <si>
    <t>C48</t>
  </si>
  <si>
    <t>C49</t>
  </si>
  <si>
    <t>Supp 2022_5</t>
  </si>
  <si>
    <t>C50</t>
  </si>
  <si>
    <t>Component 4: Strengthening the institutional capacity for long-term implementation of CIS decision-making</t>
  </si>
  <si>
    <t>Output 4.1. Institutional capacity to implement CIS across sectors strengthened</t>
  </si>
  <si>
    <t>Activity 4.1.1. 
Strengthening CIS coordination and response mechanisms for target sectors</t>
  </si>
  <si>
    <t>D1</t>
  </si>
  <si>
    <t>D2</t>
  </si>
  <si>
    <t>Supp #2</t>
  </si>
  <si>
    <t>D3</t>
  </si>
  <si>
    <t>D4</t>
  </si>
  <si>
    <t>D5</t>
  </si>
  <si>
    <t>D6</t>
  </si>
  <si>
    <t>Project Committees</t>
  </si>
  <si>
    <t>D7</t>
  </si>
  <si>
    <t>Activity 4.1.2 
Building institutional and project capacity in Monitoring and Evaluation, Environmental and Social Safeguards and Gender</t>
  </si>
  <si>
    <t>D8</t>
  </si>
  <si>
    <t>D9</t>
  </si>
  <si>
    <t>D10</t>
  </si>
  <si>
    <t>D11</t>
  </si>
  <si>
    <t>D12</t>
  </si>
  <si>
    <t>D13</t>
  </si>
  <si>
    <t>D14</t>
  </si>
  <si>
    <t>D15</t>
  </si>
  <si>
    <t>D16</t>
  </si>
  <si>
    <t>D17</t>
  </si>
  <si>
    <t>D18</t>
  </si>
  <si>
    <t>D19</t>
  </si>
  <si>
    <t>Output 4.2 - Training of personnel leads to strengthening of institutional capacity</t>
  </si>
  <si>
    <t>Activity 4.2.1
Training packages building knowledge and skills in meteorology and climate tools</t>
  </si>
  <si>
    <t>D20</t>
  </si>
  <si>
    <t>D21</t>
  </si>
  <si>
    <t>D22</t>
  </si>
  <si>
    <t>D23</t>
  </si>
  <si>
    <t>D24</t>
  </si>
  <si>
    <t>D25</t>
  </si>
  <si>
    <t>D26</t>
  </si>
  <si>
    <t>Activity 4.2.2
Establishing a mentoring programme to strengthen capacity and knowledge</t>
  </si>
  <si>
    <t>Training &amp; Secondments</t>
  </si>
  <si>
    <t>D27</t>
  </si>
  <si>
    <t>D28</t>
  </si>
  <si>
    <t>D29</t>
  </si>
  <si>
    <t>D30</t>
  </si>
  <si>
    <t>D31</t>
  </si>
  <si>
    <t>Component 5: Project Management</t>
  </si>
  <si>
    <t>Output 5.1. Project objectives achieved through effective project management</t>
  </si>
  <si>
    <t>E1</t>
  </si>
  <si>
    <t>E2</t>
  </si>
  <si>
    <t>Consultant - Local</t>
  </si>
  <si>
    <t>Supp 2022_6</t>
  </si>
  <si>
    <t>E3</t>
  </si>
  <si>
    <t>Supp 2022_7</t>
  </si>
  <si>
    <t>E4</t>
  </si>
  <si>
    <t>E5</t>
  </si>
  <si>
    <t>E6</t>
  </si>
  <si>
    <t>Audit Fee</t>
  </si>
  <si>
    <t>E7</t>
  </si>
  <si>
    <t>E8</t>
  </si>
  <si>
    <t>E9</t>
  </si>
  <si>
    <t>E10</t>
  </si>
  <si>
    <t>E11</t>
  </si>
  <si>
    <t>E12</t>
  </si>
  <si>
    <t>E13</t>
  </si>
  <si>
    <t>E14</t>
  </si>
  <si>
    <t>E15</t>
  </si>
  <si>
    <t>E16</t>
  </si>
  <si>
    <t>E17</t>
  </si>
  <si>
    <t>E18</t>
  </si>
  <si>
    <t>E19</t>
  </si>
  <si>
    <t>TOTAL PROJECT BUDGET</t>
  </si>
  <si>
    <t>Notes:</t>
  </si>
  <si>
    <t>1.  Budgets for 2018 - 2021 are based on actuals as per the annual financial reports</t>
  </si>
  <si>
    <t>Revised Budget</t>
  </si>
  <si>
    <t>2.  Budgets for 2022 and 2023 are allocated from the carry forward amounts as at 31 December 2021</t>
  </si>
  <si>
    <t>3.  Variance means either (a) potential savings i.e. contingency or (b) funds to be reallocated to another activity to cover funding requirement, or to value add to the activity</t>
  </si>
  <si>
    <t>Total</t>
  </si>
  <si>
    <t>Revised Budgets based on actuals</t>
  </si>
  <si>
    <t>Carry Forward</t>
  </si>
  <si>
    <t xml:space="preserve">Budget 
(GCF Funding)
</t>
  </si>
  <si>
    <t>Comments</t>
  </si>
  <si>
    <t>2018-2019</t>
  </si>
  <si>
    <t xml:space="preserve"> Variance
and/or
Unallocated</t>
  </si>
  <si>
    <t>Increased by $40,000 to cover the cost of interns to assist in data digitisation. 2023 budget is for interns if required</t>
  </si>
  <si>
    <t>Removed as this was for archiving boxes and these were procured by VMGD. Funds can be used to cover the cost of the data interns at VMGD (A9)</t>
  </si>
  <si>
    <t>International consultant fee removed.  Funds reallocated to interns</t>
  </si>
  <si>
    <t>International travel removed. Funds reallocated to interns</t>
  </si>
  <si>
    <t>$3,196.58 from international consultant savings added to consumables</t>
  </si>
  <si>
    <t>Position not required until website upgrade (will occur in 2023).  Reallocated to network activity / upgrade (A33)</t>
  </si>
  <si>
    <t>Consultancy not required.  Reallocated to network activity / upgrade (A33)</t>
  </si>
  <si>
    <t>Travel for consultant not required.  Reallocated to network activity / upgrade (A33)</t>
  </si>
  <si>
    <t>Budget based on quote for equipment and uplift ($80,600)</t>
  </si>
  <si>
    <t xml:space="preserve">Travel for consultant.  </t>
  </si>
  <si>
    <t xml:space="preserve">ICT review undertaken by BOM.  </t>
  </si>
  <si>
    <t xml:space="preserve">B44: Hydrologist to install, train </t>
  </si>
  <si>
    <t>Equipment = USD$47,660 + Installation tools and materials = USD650.  Includes telemetry equipment with 2023 funds = US$5,000</t>
  </si>
  <si>
    <t>Adjusted to include customs clearance for equipment</t>
  </si>
  <si>
    <t>Funds utilised for the Engineering Room as per budget note</t>
  </si>
  <si>
    <t xml:space="preserve">Travel budget adjusted </t>
  </si>
  <si>
    <t>Removed and moved to freight costs to cover customs clearance</t>
  </si>
  <si>
    <t xml:space="preserve">Funding not required - previously for Engineer. </t>
  </si>
  <si>
    <t>Equipment (Ocean Buoysx6) = USD30,209.65. Satellite costs = USD10,584 ; RBR Sensors = USD40,522.80. TOTAL = USD81,316.45.  2023 budget is for the GON-OA boxes</t>
  </si>
  <si>
    <t>Not required as wave buoys are deployed by VMGD staff and on-line training</t>
  </si>
  <si>
    <t xml:space="preserve">Revised budget as per preferred supplier's quote (Equipment budget (NIWA) = USD486,940) </t>
  </si>
  <si>
    <t>Reallocated to AWS equipment</t>
  </si>
  <si>
    <t>Salary adjusted as per contracts: 2,700,00 vatu per year (US$23,652) with 2 months severance for 2023 as per Government policy.  Rounded up for exchange rate variances</t>
  </si>
  <si>
    <t>Reduced: based on $1,100 / trip per person x 4 sites x 2 visits per site (x 3 people)</t>
  </si>
  <si>
    <t>Office supplies budget added with 'savings' from other areas in this activity</t>
  </si>
  <si>
    <t>Awareness raising budget increased for CIS rollout and Mngt Plan sessions</t>
  </si>
  <si>
    <t>Funds of $84,500 are to reallocated from Fisheries case study to Infrastructure case study</t>
  </si>
  <si>
    <t>Road Design Guidelines consultancy: Bid is $65k (approx. 100 working days)</t>
  </si>
  <si>
    <t>As per budget notes and consultant travel requirements</t>
  </si>
  <si>
    <t xml:space="preserve">This increase was due to the change of the drone specs and the required Lidar data for the case study.  Equipment (RFQ) = NZD55,690 (Drone); Paid in NZD </t>
  </si>
  <si>
    <t>As above</t>
  </si>
  <si>
    <t>As per approved budget note.  Training for Provincial Officers:  Training, Information sessions and Demonstration of Data collection, analysis and incorperation of climatic information from the design guide.  Based on 12 events (2 per province) at $2,000 per event</t>
  </si>
  <si>
    <t xml:space="preserve">As per budget notes </t>
  </si>
  <si>
    <t xml:space="preserve">As per budget notes.   </t>
  </si>
  <si>
    <t>Freight for drone and equipment to Provinces</t>
  </si>
  <si>
    <t>Undertaken under Stakeholder Engagement and Communications activities</t>
  </si>
  <si>
    <t>Consultancy for installation of equipment moved to Activity 1.2.2.1</t>
  </si>
  <si>
    <t>International firm to undertake development of the FMP and EWS</t>
  </si>
  <si>
    <t>Equipment - USD18,713 (Water loggers and staff gauges); NZD 27,013 VMGD paid supplier in NZD.  Procurement all paid.</t>
  </si>
  <si>
    <t>Included under B46 above procurement</t>
  </si>
  <si>
    <t>Trips reduced to 2 per year and should be linked in 2023 to the FMP &amp; EWS</t>
  </si>
  <si>
    <t>Funds to be used from savings in Activity 2.1.6 to cover shortfall</t>
  </si>
  <si>
    <t>Remove coordinator - new appointment no longer viable due to the delays in recruitment and project timeline</t>
  </si>
  <si>
    <t>Local Consultant: Baseline tourism survey.  4 months @ $450 x day</t>
  </si>
  <si>
    <t>Local consultant to undertake tourism CIS survey to provide information on CIS tools and information for tourism operators.  Based on $450 / day x 80 days.  Includes travel to Tanna, Santo and Efate</t>
  </si>
  <si>
    <t>Activity was 100% completed in 2019 / early 2020</t>
  </si>
  <si>
    <t>Funds to be reallocated to Activity 2.1.4 Water case study</t>
  </si>
  <si>
    <t>To cover expenditure in 2022 already undertaken</t>
  </si>
  <si>
    <t xml:space="preserve">Updated budget for Community Climate Centre and community activities includes complete operating costs, travel, awareness, CIS tools etc (as per Stakeholder &amp; Partnership budget).  </t>
  </si>
  <si>
    <t>Removed - costs are incorporated into B73</t>
  </si>
  <si>
    <t>Included under B73 costings - all inclusive package for the CCC</t>
  </si>
  <si>
    <t>Updated to reflect costings provided and 2022 expenditure</t>
  </si>
  <si>
    <t>Remove and added to local travel budget.  Training will be undertaken at the CCCs and Provincial centres</t>
  </si>
  <si>
    <t>Removed as no longer required.  Incorporated into B76</t>
  </si>
  <si>
    <t>Removed as this is no longer required - was for the site assessments only</t>
  </si>
  <si>
    <t>Removed as this is included in B73 budget line</t>
  </si>
  <si>
    <t>Removed for 2023 as this is included in B73 budget line</t>
  </si>
  <si>
    <t>Reduced in 2022</t>
  </si>
  <si>
    <t>Office supplies for Stakeholder &amp;  Partnership Coordinators</t>
  </si>
  <si>
    <t>Updated based on community engagement activities through Citizen Science action</t>
  </si>
  <si>
    <t>Updated for on-ground partnerships to disseminate CIS</t>
  </si>
  <si>
    <t>Not required - covered under Communication budget.  Funds used for CIS Technical Advisor</t>
  </si>
  <si>
    <t>Not required.  Moved to CIS Technical Advisor</t>
  </si>
  <si>
    <t xml:space="preserve">CIS Technical Advisor salary. </t>
  </si>
  <si>
    <t>Communication Officer</t>
  </si>
  <si>
    <t>Funds not required for this function - incorporated under C43 local travel for communication coordinator and officer</t>
  </si>
  <si>
    <t>Communication Coordinator travel:  Reduced to one visit to Apia as part of project wrap-up / handover for SPREP</t>
  </si>
  <si>
    <t>Includes travel funds from C41</t>
  </si>
  <si>
    <t>Increased due to $495,000</t>
  </si>
  <si>
    <t>Audience baseline survey and monitoring</t>
  </si>
  <si>
    <t>Internal communication training for project team members</t>
  </si>
  <si>
    <t xml:space="preserve">Funds ($48,000) allocated for CIS Technical Advisor </t>
  </si>
  <si>
    <t xml:space="preserve">Funds ($15,000) allocated for CIS Technical Advisor </t>
  </si>
  <si>
    <t>Gender Action Plan consultancy - paid out in early 2022</t>
  </si>
  <si>
    <t>Not required.  Funds used for CIS Technical Advisor (Activity 4.1.1)</t>
  </si>
  <si>
    <t>Funds in 2022 not required.  Funds used for CIS Technical Advisor (Activity 4.1.1)</t>
  </si>
  <si>
    <t>Funds used for CIS Technical Advisory (Activity 4.1.1)</t>
  </si>
  <si>
    <t>Funds used for project management and project accountant</t>
  </si>
  <si>
    <t>Project Accountant - cost would be to undertake the EA function and close the project.  Funds from E2 utilised</t>
  </si>
  <si>
    <t>4.  Foreign exchange variations (CSIRO and APCC reports) result in 0.02 difference</t>
  </si>
  <si>
    <t xml:space="preserve">Revised </t>
  </si>
  <si>
    <t>Sub-Activity 1.1.1.1</t>
  </si>
  <si>
    <t>Sub-Activity 1.1.1.2</t>
  </si>
  <si>
    <t>Sub-Activity 1.1.1.3</t>
  </si>
  <si>
    <t>Sub-Activity 1.1.2.1</t>
  </si>
  <si>
    <t>Sub-Activity 1.1.2.2</t>
  </si>
  <si>
    <t>Sub-Activity 1.1.2.3</t>
  </si>
  <si>
    <t>Sub-Activity 1.2.1.1</t>
  </si>
  <si>
    <t>Sub-Activity 1.2.1.2</t>
  </si>
  <si>
    <t>Sub-Activity 1.2.1.3</t>
  </si>
  <si>
    <t>Sub-Activity 1.2.1.4</t>
  </si>
  <si>
    <t>Sub-Activity 1.2.2.1</t>
  </si>
  <si>
    <t>Sub-Activity 1.2.2.2</t>
  </si>
  <si>
    <t>Sub-Activity 1.2.3.1</t>
  </si>
  <si>
    <t>Sub-Activity 1.2.3.2</t>
  </si>
  <si>
    <t>Sub-Activity 1.2.3.3</t>
  </si>
  <si>
    <t>Sub-Activity 1.2.3.4</t>
  </si>
  <si>
    <t>Sub-Activity 1.2.4.1</t>
  </si>
  <si>
    <t>Sub-Activity 1.2.4.2</t>
  </si>
  <si>
    <t>Sub-Activity 1.2.5.1</t>
  </si>
  <si>
    <t>Sub-Activity 1.2.5.2</t>
  </si>
  <si>
    <t>Sub-Activity 1.2.6.1</t>
  </si>
  <si>
    <t>Sub-Activity 1.2.6.2</t>
  </si>
  <si>
    <t>Sub-Activity 1.2.6.3</t>
  </si>
  <si>
    <t>Sub-Activity 1.2.6.4</t>
  </si>
  <si>
    <t>Sub-Activity 2.1.1</t>
  </si>
  <si>
    <t>Sub-Activity 2.1.2</t>
  </si>
  <si>
    <t>Sub-Activity 2.1.3</t>
  </si>
  <si>
    <t>Sub-Activity 2.1.4</t>
  </si>
  <si>
    <t>Sub-Activity 2.1.5</t>
  </si>
  <si>
    <t>Sub-Activity 2.1.6</t>
  </si>
  <si>
    <t>Sub-Activity 2.2.1</t>
  </si>
  <si>
    <t>Sub-Activity 2.3.1</t>
  </si>
  <si>
    <t>Sub-Activity 3.1.1</t>
  </si>
  <si>
    <t>Sub-Activity 3.2.1.1</t>
  </si>
  <si>
    <t>Sub-Activity 3.2.1.2</t>
  </si>
  <si>
    <t>Sub-Activity 3.3.1</t>
  </si>
  <si>
    <t>Sub-Activity 4.1.1</t>
  </si>
  <si>
    <t>Sub-Activity 4.1.2</t>
  </si>
  <si>
    <t>Sub-Activity 4.2.1</t>
  </si>
  <si>
    <t>Sub-Activity 4.2.2</t>
  </si>
  <si>
    <t>Sub-Activity 5.1.1 (a)</t>
  </si>
  <si>
    <t>Sub-Activity 5.1.1 (b)</t>
  </si>
  <si>
    <t>Variation</t>
  </si>
  <si>
    <t>Note: 
1.  Variation is based on unallocated contingency and $14,033.25 reduced from Activity 1.1.2.1 to Activity 4.1.1</t>
  </si>
  <si>
    <t xml:space="preserve"> Approved Budget</t>
  </si>
  <si>
    <t>Detailed Description</t>
  </si>
  <si>
    <t>Activity 1.1.1</t>
  </si>
  <si>
    <r>
      <rPr>
        <b/>
        <sz val="8"/>
        <color theme="1"/>
        <rFont val="Arial"/>
        <family val="2"/>
      </rPr>
      <t>Sub-activity 1.1.1.1</t>
    </r>
    <r>
      <rPr>
        <sz val="8"/>
        <color theme="1"/>
        <rFont val="Arial"/>
        <family val="2"/>
      </rPr>
      <t xml:space="preserve"> Salaries (BOM): Lead CLEWS scientist 0.6 FTE and IT support officer 0.2 FTE  ($107,050).  Training: Lead scientist 0.2 FTE for 1 year ($41,400)</t>
    </r>
  </si>
  <si>
    <r>
      <rPr>
        <b/>
        <sz val="8"/>
        <color theme="1"/>
        <rFont val="Arial"/>
        <family val="2"/>
      </rPr>
      <t>Sub-activity 1.1.1.1</t>
    </r>
    <r>
      <rPr>
        <sz val="8"/>
        <color theme="1"/>
        <rFont val="Arial"/>
        <family val="2"/>
      </rPr>
      <t xml:space="preserve">  Co-Financing: BOM Salaries</t>
    </r>
  </si>
  <si>
    <t>Sub-activity 1.1.1.1  Co-Financing VMGD Staff time</t>
  </si>
  <si>
    <t>Sub-activity 1.1.1.1 BOM Travel - Sydney - Port Vila rtn.  $3,500 (Airfares, DSA, Accommodation)</t>
  </si>
  <si>
    <t xml:space="preserve">Sub-activity 1.1.1.1 Workshops:  One medium training workshop $10,150 (Venue hire, catering, travel for local Provincial personnel)
</t>
  </si>
  <si>
    <t>Sub-activity 1.1.1.2.  Salary:  VMGD Staff as per government remuneration procedure.  Climatologist ((Final year includes end-of-contract costs)</t>
  </si>
  <si>
    <t>Sub-activity 1.1.1.2.  Salary:  VMGD Staff as per government remuneration procedures, Climotologist / Data Homogenisation Officer (Final year includes end of contract costs)</t>
  </si>
  <si>
    <t>Sub-activity 1.1.1.2.  Salary: VMGD Staff as per government remuneration procedures.  Climatologist: Data Request &amp; Outreach Officer (Final year includes end of contract costs)</t>
  </si>
  <si>
    <t>Sub-activity 1.1.1.2.  Casual labour to assist with data digitisation and homgenisation, data entry etc</t>
  </si>
  <si>
    <t xml:space="preserve">Sub-activity 1.1.1.2.  VMGD Co-financing - Casual labour to assist with data digitisation and homgenisation, data entry etc </t>
  </si>
  <si>
    <t xml:space="preserve">Sub-activity 1.1.1.2.  BOM Salary: BOM Lead scientist 0.1 FTE for 1 year and additional data rescue expert 1 FTE for 1 month to assist with training delivery.  Year 2 = 0.2 FTE for 2 BOM scientists (data rescue and digitization experts) </t>
  </si>
  <si>
    <t>Sub-activity 1.1.1.2.  BOM Co-financing for salary of Lead Scientist and training expert</t>
  </si>
  <si>
    <t>Sub-activity 1.1.1.2.  Other: The funds will be paid to VMGD for data digitisation work or for procurement of necessary materials such as archival boxes. $24,000 will go back to VMGD to support digitisation costs, either in staff time or through sourcing of digitisation materials such as archival boxes (to WMO standards of record preservation).</t>
  </si>
  <si>
    <t>Sub-activity 1.1.1.2. Travel BOM: 2 trips ex Sydney - Port Vila x 5 days $3,500 (Airfares, DSA, Accommodation)</t>
  </si>
  <si>
    <t xml:space="preserve">Sub-activity 1.1.1.2. International Consultant: $500 / day for 15 days </t>
  </si>
  <si>
    <t>Sub-activity 1.1.1.2. International travel:  Based on airfare from Australia - Port Vila $3,500 (Airfares, DSA, Accommodation)</t>
  </si>
  <si>
    <t>Sub-activity 1.1.1.2. Fieldbook scanner e.g Bookeye 4 V3 Kiosk Colour Scanner</t>
  </si>
  <si>
    <t>Sub-activity 1.1.1.2. Airconditioner (OH&amp;S for dust, clean air etc)</t>
  </si>
  <si>
    <t xml:space="preserve">Sub-activity 1.1.1.2. Dust masks, gloves, </t>
  </si>
  <si>
    <t>Sub-activity 1.1.1.2. Desktop computer (e.g. HP INC 4VS63PA) keyboard, mouse and software</t>
  </si>
  <si>
    <t>Sub-activity 1.1.1.2. Long work table for scanner, papers, work lamps etc</t>
  </si>
  <si>
    <t>Sub-activity 1.1.1.2. Kodak Capture Pro Software</t>
  </si>
  <si>
    <t>Sub-activity 1.1.1.2. Archival boxes e.g. waterproof storage containers for documents and miscellaneous</t>
  </si>
  <si>
    <t>Sub-activity 1.1.1.3.  Salary: BOM Lead scientist 0.2 FTE for 1 year</t>
  </si>
  <si>
    <t>Sub-activity 1.1.1.3.  Co-financing (BOM) Salary: BOM Lead scientist 0.2 FTE for 1 year</t>
  </si>
  <si>
    <t xml:space="preserve">Sub-activity 1.1.1.3.  Co-financing (VMGD) Salary: Climate Division Manager </t>
  </si>
  <si>
    <t>Sub-activity 1.1.1.3. International travel:  One trip from Sydney - Port Vila at $3,500 / trip (includes airfare and DSA for one week)</t>
  </si>
  <si>
    <t>Activity 1.1.2</t>
  </si>
  <si>
    <t>Sub-activity 1.1.2.1 Salary: Web and App developer based on Vanautu Government remuneration rates</t>
  </si>
  <si>
    <t>Sub-activity 1.1.2.1 Salary: DevOps Engineer based on Vanuatu Government remuneration rates</t>
  </si>
  <si>
    <t>Sub-activity 1.1.2.1 Consultant to collaborate with and mentor Web and App developer.  Based on 30 days @ $600 / day</t>
  </si>
  <si>
    <t>Sub-activity 1.1.2.1. Consultant travel.  Based on 2 trips x 5 days @ $3,750 / trip (Airfare, DSA, Accommodation)</t>
  </si>
  <si>
    <t>Sub-activity 1.1.2.1 Laptop, screen, accessories, software for Web and App Developer</t>
  </si>
  <si>
    <t>Sub-activity 1.1.1.2. IT equipment to improve VMGD capability: $24,800 (rounded up): 2 x NAS Units (USD219 ea) - USD438; 4 x 1 U Dell Server (USD4,649 ea) – USD18,596; 1 x UPS (USD 1,873 ea) – USD1,873; 1 x Rack Console (USD3,809 ea) – USD3,809; 1 x Tape Backup (USD65 ea) – USD65.</t>
  </si>
  <si>
    <t>Sub-activity 1.1.1.2. IT equipment for VMGD backup system ($44,615): 4 x Rack Console (USD3,809 ea) – USD15,236; 4 x NAS Units (USD219 ea) – USD876; 3 x 1 U Dell Server (USD4,649 ea) – USD13,947; 1 x UPS (USD 1,873 ea) – USD1,873; 2 x Rack Console (USD3,809 ea) – USD7,618; 1 x Router (USD2,000 ea) – USD2,000; 1 x Firewall Appliance (USD3,000 ea) – USD3,000; 1 x Tape Backup ((USD65 ea) – USD65.</t>
  </si>
  <si>
    <t>Sub-activity 1.1.2.1 Consultant: Undertake establishment of data governance program and training.  Based on $600 / day x 8- days</t>
  </si>
  <si>
    <t>Sub-activity 1.1.2.1 Consultant travel - Based on 4 trips (2 / year) @ $3,750 / trip (Airfares, DSA, Accommodation)</t>
  </si>
  <si>
    <t>Sub-activity 1.1.2.1 Consultant to undertake the ICT review and assessment.  Based on $500 / day x 15 days</t>
  </si>
  <si>
    <t>Sub-activity 1.1.2.1 Consultant travel to undertake ICT assessment.  Based on rtn trip Sydney - Port Vila $5,000 (Airfare, DSA, Accommodation) x 1.5 weeks</t>
  </si>
  <si>
    <t>Sub-activity 1.1.2.1 IT Consumables e.g. backup software, backup tapes etc</t>
  </si>
  <si>
    <t>Sub-activity 1.1.2.1. Co-financing (VMGD): Office space, office supplies, telephone</t>
  </si>
  <si>
    <t xml:space="preserve"> Sub-activity 1.1.2.2. Salary: IT support/climate database expert 0.3 FTE for 6 months.  </t>
  </si>
  <si>
    <t xml:space="preserve">Sub-activity 1.1.2.2. Co-financing (BOM) Salary: IT support/climate database expert 0.3 FTE for 6 months.  </t>
  </si>
  <si>
    <t>Sub-activity 1.1.2.2. Salary: BOM 0.6 FTE for IT support to assist with operationalising the CLEWS</t>
  </si>
  <si>
    <t xml:space="preserve"> Sub-activity 1.1.2.2. Co-financing (BOM) Salary: 0.6 FTE for IT support to assist with operationalising the CLEWS </t>
  </si>
  <si>
    <t>Sub-activity 1.1.2.2. Consultant travel.  Based on 3 trips x 5 days @ $3,500 / trip (Airfare, DSA, Accommodation)</t>
  </si>
  <si>
    <t>Co-Financing: VMGD Staff time = 6 mths</t>
  </si>
  <si>
    <t>Co-Financing: VMGD Office space and equipment</t>
  </si>
  <si>
    <t>Sub-activity 1.1.2.4.  Salary: CSIRO scientists (2 people) at 1.03 FTE to develop the Portal</t>
  </si>
  <si>
    <t>Sub-activity 1.1.2.4.  Co-financing (CSIRO) Salary: CSIRO scientists (2 people) at 1.03 FTE to develop the Portal</t>
  </si>
  <si>
    <t>Sub-activity 1.1.2.4.  Salaries 0.97 FTE for CSIRO scientists to develop new content and materials for portal</t>
  </si>
  <si>
    <t>Sub-activity 1.1.2.4.  Co-financing (CSIRO) Salaries 0.97 FTE salaries for CSIRO scientists to develop new content and materials for portal</t>
  </si>
  <si>
    <t>Sub-activity 1.1.2.4. Co-financing (VMGD) Salary ICT Division (equivalent 1 month per year); Co-finance Year 4 $16,000 (salary)</t>
  </si>
  <si>
    <t>Sub-activity 1.1.2.4. International travel: CSIRO scientists (1 person) to travel Melbourne to Port Vila.  Airfares and DSA (CSIRO rates) for 1.5 weeks = $5,000</t>
  </si>
  <si>
    <t>Sub-activity 1.1.2.4. Co-financing (VMGD) Office space</t>
  </si>
  <si>
    <t>Activity 1.2.1</t>
  </si>
  <si>
    <t>Sub-activity 1.2.1.1.  Salaries:  Salary Equipment Engineer / Technician 0.25FTE.  Electronics engineer (VMGD) VAT 91685 per fortnight / 2,383,810 @ 112.14 = USD 21,260</t>
  </si>
  <si>
    <t>Sub-activity 1.2.1.1.  Co-financing (Provincial staff) Staff time - equivalent 2 months in year 2 to collect data, 1 month in yeaers 3-5</t>
  </si>
  <si>
    <t>Sub-activity 1.2.1.1. Consultant $600 / day x 120 days.  Work with VMGD to develop and integrate hydrological data into Portals</t>
  </si>
  <si>
    <t>Sub-activity 1.2.1.1.  Travel: Based on a Sydney - Port Vila rtn.  $3,500 for Airfares, DSA, Accommodation at 5 days / visit</t>
  </si>
  <si>
    <t>Sub-activity 1.2.1.1. Firm to procure, install equipment and train VMGD staff.  Includes management fees, travel and training</t>
  </si>
  <si>
    <t>Sub-activity 1.2.1.1. Local consultant (Hydrologist) to train water resources staff</t>
  </si>
  <si>
    <t>Sub-activity 1.2.1.1. Stream gauges and operating costs: Based on 1 new river (flood) automatic monitoring guage @ USD57,000 (including secure installation, OMMP, exclusive of VMGD staff time)</t>
  </si>
  <si>
    <t>Sub-activity 1.2.1.1. Freight to transport equipment to site</t>
  </si>
  <si>
    <t>Sub-activity 1.2.1.1. Equipment maintenance and storage facility for engineers and technicians to work on repairing and maintaining instruments and equipment: Table, chairs, shelving, bench</t>
  </si>
  <si>
    <t>Sub-activity 1.2.1.1. Local travel: 1 trip for 2 people to scope the site for 5 days.  Costs based on a five day visit: Airfares $500/person; DSA $500/person ($100/day).  2020 - 2023: 2 trips / year x 2 pp = Airfares $600/trip; DSA $50 / day' Accomm $50 / day.</t>
  </si>
  <si>
    <t>Sub-activity 1.2.1.1. Field costs: Truck or vehicle hire, cultural obligations</t>
  </si>
  <si>
    <t>Sub-activity 1.2.1.1.  Training workshop in Province on data collection, analysis and CIS tools.  20 participants @ $50 / person x 2 days = $2,000 / training workshop</t>
  </si>
  <si>
    <t>Sub-activity 1.2.1.1. Community consultations: Venue hire, catering, cultural obligations etc</t>
  </si>
  <si>
    <t>Sub-activity 1.2.1.1. Materials for community events e.g. World Water Day</t>
  </si>
  <si>
    <t xml:space="preserve">Sub-activity 1.2.1.2. Salary Equipment Engineer / Technician 0.25FTE </t>
  </si>
  <si>
    <t xml:space="preserve">Sub-activity 1.2.1.2. Local travel: 1 trip for 2 people to scope the site for 5 days.  Costs: Airfares $500/person; DSA $500/person ($100/day) </t>
  </si>
  <si>
    <t>Sub-activity 1.2.1.2. 2 x Ocean wave buoys (US$130,000); radio receiving equipment x 2 (US$21,780); Satellite US$32,670; Storage systems and data acquisition US$10,890; - to include training on installation, operations and maintenance of equipment.</t>
  </si>
  <si>
    <t>Sub-activity 1.2.1.2.  Travel for supplier to assist with deployment and training. Airfare $1,100,  DSA $1,350 (Total $2450) 5 day trip</t>
  </si>
  <si>
    <t>Sub-activity 1.2.1.2.  Boat charter to deploy US$5,000</t>
  </si>
  <si>
    <t>Sub-activity 1.2.1.2. Travel for technicians for Installation: 4 technicians (5 days) - ($1100 x 4)+($1000)= $5,400</t>
  </si>
  <si>
    <t>Sub-activity 1.2.1.2. Monitoring &amp; Maintenance 2 technicians every 6 months (5 days) - ($1100 x 2)+($1000) = 3200 (total 8 trips)</t>
  </si>
  <si>
    <t>Sub-activity 1.2.1.2. Safety equipment</t>
  </si>
  <si>
    <t>Sub-activity 1.2.1.2. Miscellaneous: customs fees etc (US$1,500)</t>
  </si>
  <si>
    <t>Sub-activity 1.2.1.2. Community consultations: 1 per visit.  Venue, catering, cultural obligations = $1000</t>
  </si>
  <si>
    <t xml:space="preserve">Sub-Activity 1.2.1.3. Salary Equipment Engineer / Technician 0.25FTE </t>
  </si>
  <si>
    <t>Sub-Activity 1.2.1.3 Equipment: AWS x 8 ($38,500 / each) = $308,000; ARG x 8 ($10,000 each) = $80,000; - package to include training on installation, operation and maintenance</t>
  </si>
  <si>
    <t>Sub-Activity 1.2.1.3. Operating costs / Maintenance: On-site maintenance to clear site etc: $4,080 / year for all 16 sites
($255 per site / year)</t>
  </si>
  <si>
    <t>Sub-Activity 1.2.1.3. Local travel:  Travel for 2 people to visit 8 sites (5 days each visit).  Airfares = $500 / person / flight (2x500x8 = $8,000); DSA = $500 / person / 5 day visit (2x500x8 = $8,000)</t>
  </si>
  <si>
    <t>Sub-Activity 1.2.1.3. Technicians Travel:  Installation 4 technicians - 5 day trips (1 trip) x 16 sites; ((1100*4)+(1000))*16 = $86,400 the first few installations will be undertaken by  VMGD technicians; on later installations 2 technicians will then take (2) staff from the operations team and train them on installation and maintenance of these equipment</t>
  </si>
  <si>
    <t>Sub-Activity 1.2.1.3. Travel for maintenance of equipment.  Based on 1 trip per year per installation (16 installations).  For 2 engineers x 5 days per installation.  Cost $1,100 / pp / trip x 16</t>
  </si>
  <si>
    <t xml:space="preserve">Sub-Activity 1.2.1.3. Securing equipment sites from damage and theft from animals/people. Fencing materials:  $3,500 / site x 16 sites = $56,000 </t>
  </si>
  <si>
    <t>Sub-Activity 1.2.1.3. Local labour costs for securing equipment sites. $15 / person x 3 days x 10 people ($450/ site) x 16 sites = $7,200</t>
  </si>
  <si>
    <t>Sub-Activity 1.2.1.3. Transport and freight (ship and truck): $2,000 / site (freight); 2000 * 16 sites</t>
  </si>
  <si>
    <t>Sub-Activity 1.2.1.3.  Community consultations - $1,000 / community consultation x 16 sites. Venue, catering, local transportation, miscellaneous</t>
  </si>
  <si>
    <t xml:space="preserve">Sub-activity 1.2.14. Salary Equipment Engineer / Technician 0.25FTE </t>
  </si>
  <si>
    <t>Sub-activity 1.2.1.4. International Consultant:  One consultant to undertake CBA of radar costed at $850 / day for 60 days</t>
  </si>
  <si>
    <t xml:space="preserve">Sub-activity 1.2.1.4. International travel:  Consultant - one trip to Vanuatu for 7 days.  Includes airfare and DSA (based on travel from Australia) </t>
  </si>
  <si>
    <t>Sub-activity 1.2.1.4.  Procurement, operations and maintenance of radar weather system.  TBC post CBA</t>
  </si>
  <si>
    <t>Activity 1.2.2</t>
  </si>
  <si>
    <t xml:space="preserve">Sub-activity 1.2.2.1. Salary: Traditional knowledge expert 0.1 FTE (6 months July – December 2019) Communication and capacity development expert 0.1 FTE (6 months July – December 2019) </t>
  </si>
  <si>
    <t xml:space="preserve">Sub-activity 1.2.2.1. BOM Seasonal forecast climatologist 1.5 FTE over 2 years (collaborative with COSPPac). </t>
  </si>
  <si>
    <t xml:space="preserve">Sub-activity 1.2.2.1. Co-financing (BOM) Salary: BOM Seasonal forecast climatologist 1.5 FTE over 2 years (collaborative with COSPPac). </t>
  </si>
  <si>
    <t xml:space="preserve">Sub-activity 1.2.2.1. VMGD Seasonal and Climate Forecast staff (equivalent 3 weeks each year) </t>
  </si>
  <si>
    <t xml:space="preserve">Sub-activity 1.2.2.1. International travel: 2 people x 2 trips from Sydney to Port Vila.  Airfares and DSA (BOM rates) = $3,500 / person = $7,000 per trip.  </t>
  </si>
  <si>
    <t>Sub-activity 1.2.2.1. Workshop - 25-30 participants @$50 / pp / day, venue hire, catering and 8 outer island attendees. The workshop will be in collaboration with activity 3.1 (TK workshop). Total = $50*30*5 ($7,500)</t>
  </si>
  <si>
    <t>Sub-activity 1.2.2.2. Salaries: Lead seasonal forecast climatologist 0.15FTE (over 2 years).</t>
  </si>
  <si>
    <t xml:space="preserve">Sub-activity 1.2.2.2. Co-financing (BOM / COSPPac) salary </t>
  </si>
  <si>
    <t>Sub-activity 1.2.2.2. Co-financing (VMGD) salary of VMGD Seasonal and Climate Forecast staff</t>
  </si>
  <si>
    <t>Sub-activity 1.2.2.2. Travel Sydney - Port Vila @ $3,500 / trip for a 5-day visit</t>
  </si>
  <si>
    <t>Sub-activity 1.2.2.2. Training workshop (x1): 15 participants @ $50 / pp / day x 5 days; 8 outer island participants @$1,100 each (Airfare $600, DSA $50 / day, Accomm $50 / day)</t>
  </si>
  <si>
    <t>Activity 1.2.3</t>
  </si>
  <si>
    <t xml:space="preserve">Sub-activity 1.2.3.1.  Salary: CSIRO scientists at 1.25 FTE salaries </t>
  </si>
  <si>
    <t xml:space="preserve">Sub-activity 1.2.3.1.  Co-financing (CSIRO) Salary: CSIRO scientists at 1.25 FTE salaries </t>
  </si>
  <si>
    <t>Sub-activity 1.2.3.1. International travel: CSIRO scientist (1 person) to travel Melbourne to Port Vila.  Airfares and DSA (CSIRO rates) for 1 weeks = $3,750</t>
  </si>
  <si>
    <t xml:space="preserve">Sub-activity 1.2.3.1. Co-financing (VMGD). Salary Climate Seasonal Forecast Manager </t>
  </si>
  <si>
    <t>Sub-activity 1.2.3.2. Salary: CSIRO scientists at 0.96 FTE salaries</t>
  </si>
  <si>
    <t>Sub-activity 1.2.3.2. Co-financing (CSIRO) Salary: CSIRO scientists at 0.96 FTE salaries</t>
  </si>
  <si>
    <t>Sub-activity 1.2.3.2. Co-Financing (VMGD) Salary: Climate Seasonal Forecast Manager</t>
  </si>
  <si>
    <t>Sub-activity 1.2.3.2. International travel: CSIRO scientist (1 person) to travel Melbourne to Port Vila.  Airfares and DSA (CSIRO rates) for 1 weeks = $3,750</t>
  </si>
  <si>
    <t>Sub-activity 1.2.3.2. Training workshops: 2 workhops per year for 3 days each for 25 participants.  $50 / person / day for venue hire, catering, miscellaneous etc = $3,750 / workshop.  Plus 8 Provincial representatives at $1,000 / person (Airfares $600, DSA $50 / day x 4 days, Accommodation $50 / day x 4 days) - $8,000.  Only one workshop for the 8 reps, as it is expected funds from other DP's workshops will be utilised as a joint training workshop</t>
  </si>
  <si>
    <t>Sub-activity 1.2.3.2. Co-financing (VMGD) Office space</t>
  </si>
  <si>
    <t>Sub-activity 1.2.3.3. Salary:  CISRO scientists at 1.09 FTE salaries</t>
  </si>
  <si>
    <t>Sub-activity 1.2.3.3. Co-financing (CSIRO) Salary:  CISRO scientists at 1.09 FTE salaries</t>
  </si>
  <si>
    <t>Sub-activity 1.2.3.3. Co-financing (VMGD) Salary Climate Seasonal Forecast Manager</t>
  </si>
  <si>
    <t>Sub-activity 1.2.3.3. International travel: CSIRO scientist (1 person) to travel Melbourne to Port Vila.  Airfares and DSA (CSIRO rates) for 1 weeks = $3,750</t>
  </si>
  <si>
    <t xml:space="preserve">Sub-activity 1.2.3.4. Salary:  CSIRO scientists at 0.96 FTE salaries </t>
  </si>
  <si>
    <t xml:space="preserve">Sub-activity 1.2.3.4. Co-financing (CSIRO) Salary:  CSIRO scientists at 0.96 FTE salaries </t>
  </si>
  <si>
    <t xml:space="preserve">Sub-activity 1.2.3.4. Co-financing (VMGD) Salary:  Climate Seasonal Forecast Manager </t>
  </si>
  <si>
    <t>Sub-activity 1.2.3.4. International travel: CSIRO scientist (1 person) to travel Melbourne to Port Vila.  Airfares and DSA (CSIRO rates) for 1 weeks = $3,750</t>
  </si>
  <si>
    <t>Sub-activity 1.2.3.4. Training Workshops:  Two technical workshops per year with sectors and VMGD.  30 participants x 3 days each workshop @ $50 / pp / day (venue hire. Catering, miscellaneous) = $4,500 / workshop. Plus approx 8 participants from Provinces (Year 2): $1,000 /pp/workshop (Airfares $600; DSA $50 / day x4 days; Accommodation $50 / day x 4 days)</t>
  </si>
  <si>
    <t>Activity 1.2.4</t>
  </si>
  <si>
    <t>Sub-activity 1.2.4.1. Co-financing (VMGD) Salary Climate Seasonal Forecast and ICT staff</t>
  </si>
  <si>
    <t>Sub-activity 1.2.4.1. Local consultant: 40 days @ $250 / day - to support local data collection and engagement with VMGD and sectors</t>
  </si>
  <si>
    <t>Sub-activity 1.2.4.1.  Professional services: Support web and visualisation of hazard data and / or undertake the climate risk assessment framework for sectors</t>
  </si>
  <si>
    <t>Sub-activity 1.2.4.1. (i) Lidar Data: New topographic LIDAR data for Santo; New topographic &amp; bathymetric LIDAR for Tanna &amp; Malekula ($500,000 - $650,000); New bathymetric LIDAR data for Santo; (ii) Satellite data: Satellite derived bathymetry data for Santo and other sectoral case study site islands/locations ($100,000 - $150,000); (iii) High resolution aerial imagery: Drone capability incl. spares, packaging, software, sensors etc ($50,000 - $75,000), Drone acquisition and data processing training ($35,000 - $50,000),  Insurance, freight, software, accessories etc ($20,000 - $25,000); (iv) Fine-scale geo-spatial data: GPS back-pack units (2 off), incl. requisite modular components, and high resolution digital cameras with in-built GPS capability for geo-spatial referencing of sectoral case study features, activities, extreme events etc ($50,000 - $75,000)</t>
  </si>
  <si>
    <t>Sub-activity 1.2.4.1. Professional Services.  Development of a climate risk assessment framework for use by all Sectors through Deloitte's.  Funds are not required under A125 and will be used to finalise and value-add to the activity output and outcome.</t>
  </si>
  <si>
    <t>Sub-activity 1.2.4.1. Co-financing (VMGD) personnel time re logistics</t>
  </si>
  <si>
    <t>Sub-activity 1.2.4.2. Salary:  CSIRO scientists at 1.09 FTE salaries.  2 CSIRO scientists at 1.04 FTE and 0.7 FTE salaries</t>
  </si>
  <si>
    <t>Sub-activity 1.2.4.2. Co-financing (CSIRO) Salary:  CSIRO scientists at 1.09 FTE salaries.  2 CSIRO scientists at 1.04 FTE and 0.7 FTE salaries</t>
  </si>
  <si>
    <t xml:space="preserve">Sub-activity 1.2.4.2. Co-financing (VMGD): ICT and Climate Division staff </t>
  </si>
  <si>
    <t>Sub-activity 1.2.4.2. International travel:  2 trips / year: Melbourne - Port Vila return for 5 days costed at $3,750 including airfare and DSA (based on CSIRO travel rates)</t>
  </si>
  <si>
    <t>Sub-activity 1.2.4.2. Training Workshops:  Three technical workshopswith sectors and VMGD.  30 participants x 3 days each workshop @ $50 / pp / day (venue hire. Catering, miscellaneous) = $4,500 / workshop. Plus approx 8 participants from Provinces: $1,000 /pp/workshop (Airfares $600; DSA $50 / day x4 days; Accommodation $50 / day x 4 days)</t>
  </si>
  <si>
    <t>Activity 1.2.5</t>
  </si>
  <si>
    <t xml:space="preserve">Sub-activity 1.2.5.1. Salary:  CSIRO scientists at 0.70 FTE salaries </t>
  </si>
  <si>
    <t xml:space="preserve">Sub-activity 1.2.5.1. Co-financing (CSIRO) Salary:  CSIRO scientists at 0.70 FTE salaries </t>
  </si>
  <si>
    <t>Sub-activity 1.2.5.1. Co-financing (VMGD) Salary:  Climate Division staff</t>
  </si>
  <si>
    <t>Sub-activity 1.2.5.1. International travel: 1 trip / year.  Melbourne - Port Vila return for 5 days costed at $3,750 including airfare and DSA (based on CSIRO travel rates)</t>
  </si>
  <si>
    <t xml:space="preserve">Sub-activity 1.2.5.2. Salary:  CSIRO scientists at 0.70 FTE salaries </t>
  </si>
  <si>
    <t xml:space="preserve">Sub-activity 1.2.5.2. Co-financing (CSIRO) Salary:  CSIRO scientists at 0.70 FTE salaries </t>
  </si>
  <si>
    <t>Sub-activity 1.2.5.2. Co-financing (VMGD) Salary:  Climate division staff time</t>
  </si>
  <si>
    <t>Sub-activity 1.2.5.2. Consultant (Marine Applied) to undertake preliminary climate 'hotspotting' for coastal areas e.g. bleaching</t>
  </si>
  <si>
    <t>Sub-activity 1.2.5.2.  International travel: 1 trip from Melbourne - Port Vila return for 5 days costed at $3,750 including airfare and DSA (based on CSIRO travel rates)</t>
  </si>
  <si>
    <t xml:space="preserve">Sub-activity 1.2.5.2. Training Workshops (x3):  Three technical workshops with sectors and VMGD.  30 participants x 3 days each workshop @ $50 / pp / day (venue hire. Catering, miscellaneous) = $4,500 / workshop.  </t>
  </si>
  <si>
    <t>Activity 1.2.6</t>
  </si>
  <si>
    <t xml:space="preserve">Sub-activity 1.2.6.1.Professional Services: IT company to develop the VaCSA and Crop Climate Diary)
· IT company to develop the OSCAR and Crop Climate Diary
· allocation to transmit AWS station data to existing CliDE and/or VMGD data portal 
· gathering all agro-met station data through developing a data interface to the OSCAR system
· travel and consultations related to OSCAR and CCD development   </t>
  </si>
  <si>
    <t xml:space="preserve">Sub-activity 1.2.6.1. Professional Services: Allocation to transmit AWS station data to existing CliDE and/or VMGD data portal, gathering all agro-met station data through developing a data interface to the VaCSA system.  </t>
  </si>
  <si>
    <t>Sub-activity 1.2.6.1. Local Travel within KOREA for various technical meetings.  Based on 2 days: 
Yr 2 &amp; 3 = 14 x 2.5 day local trip within S. Korea @ USD 350 ea (USD150 train rtn, DSA USD100 per day/person); 
Yr 4 = 7 x 2.5 day local trip within S. Korea @ USD 350 ea (USD150 train rtn, DSA USD100 per day/person)</t>
  </si>
  <si>
    <t>Sub-activity 1.2.6.1. Designing and printing manuals, OSCAR Guidelines, Agromet Bulletin Guidelines</t>
  </si>
  <si>
    <t xml:space="preserve">Sub-activity 1.2.6.2. Salary:  Staff for soil map digitization, radar data downscaling, etc. Including: APCC student Intern for soil map digitization, radar data downscaling, etc.); [2020] Student intern @ 2300 USD per month x 12 months = 27,600; [2021] Student intern @ 2300 USD per month x 12months = 27,600; · Travel and meetings related to staff management  </t>
  </si>
  <si>
    <t>Sub-activity 1.2.6.2. Local Consultant:  In support of local data collection, utilization of interns or local consultants (@ USD250/day) for 8 months</t>
  </si>
  <si>
    <t xml:space="preserve">Sub-activity 1.2.6.2. Consultation for collecting and analyzing soil samples at experimental plots for developing crop models </t>
  </si>
  <si>
    <t xml:space="preserve">Sub-activity 1.2.6.2. Consultation for collecting and analyzing soil samples at demostration plots for agro-met bulleting </t>
  </si>
  <si>
    <t xml:space="preserve">Sub-activity 1.2.6.2. · Equipment - 2 x agro-field trial sets @ USD5,000 ea and 2 replacement sets for each trial set; Travel and meetings related to IT equipment inspection and application </t>
  </si>
  <si>
    <t>Sub-activity 1.2.6.2. APCC Travel (x 2 pp): $5,000 / pp / trip - Airfare ($3,000), DSA $250 / day / pp x 8 days</t>
  </si>
  <si>
    <t>Sub-activity 1.2.6.2. International travel:  4 staff; 7 days for field trials and data collection and training program on utilization of CCD.  Airfares = $3,000/person; DSA (APCC rates) = $250 / day / person.  Total: 12,000+7000=$19,000</t>
  </si>
  <si>
    <t xml:space="preserve">Sub-activity 1.2.6.2. Local agriculture technical expert (Dr. Vincent Lebot), based in Vanuatu. Local knowledge of Vanuatu agriculture practices as well as the scientific aspect of the agriculture practices and factors such as soil types, new developed plants, etc. He is a researcher at the French Agricultural Research Centre for International Development (CIRAD) and is based in Vanuatu full-time. </t>
  </si>
  <si>
    <t xml:space="preserve">Sub-activity 1.2.6.2. Local consultants to undertake data collection: The data collection is for 5-6 people part-time for 6 months. There will be 2 or 3 persons based in Santo and 3 persons based in Port Vila. They will be responsible for extensive data collection that will be required to calibrate the deep learning algorithm built within the Crop Climate Diary (CCD). CCD allows farmers to take photos of their plants (taro), and the CCD will automatically calculate the photograph’d plant’s size and weight. However, as this is a new deep-learning algorithm that is being developed, this requires an incredibly extensive amount of validation. </t>
  </si>
  <si>
    <t>Sub-activity 1.2.6.2. Consultants (Korea): Expert consultations within Korea as needed, based on expertise on specific crops or soil types. While APCC has expertise in connecting climate information to agriculture services, we do not have agriculture experts that have knowledge that spans all of the different types of crops of types of soil that may be needed to develop crop indices, projections, growing cycles, etc.</t>
  </si>
  <si>
    <t>Sub-activity 1.2.6.2. Workshop:  Training program/workshop (5 days) for agro-data collection with 20 participants at USD50/person/day for venue and food, 6 participants from outer islands (rtn flight @ USD500 + DSA @ USD100 per day/person) = 5,000 + 3,000 + 3,000 = 11,000 or eq</t>
  </si>
  <si>
    <t>Sub-activity 1.2.6.2. Local travel (Meetings with IT companies): 8 x 1.5 day local trip within S. Korea @ USD 250 ea (USD150 train rtn, DSA USD100 per day/person</t>
  </si>
  <si>
    <t>Sub-activity 1.2.6.2. 2020 Agromet Bulletin Stakeholder Workshop: 3 day workshop on the utilization of the Crop Climate Diary and the data connection between the CCD and the agro-met database to generate agromet bulletins and generating feedback on agromet bulletin contents.  Costed at 30 participants at USD50/person/day for venue and food ($4,500) + $500  for workshop related materials.  Plus $6,600  for travel for participants from outer islands.  Includes 6 participants from outer islands @ 1100 USD ea (flight @ USD 600 + DSA USD100 per day/person, 5 days inclusive of travel days)</t>
  </si>
  <si>
    <t>Sub-activity 1.2.6.2.  International travel for APCC staff to undertake the 3 day Agromet Bulletin Stakeholder Workshop + other necessary local work/meetings to connect CliDE and VaCSA.  Costing based on 5 pax x 7 day international trip from S. Korea to Vanuatu @ USD 4,750 ea (USD3,000 int'l flight rtn, DSA USD250 per day/person)</t>
  </si>
  <si>
    <t>Sub-activity 1.2.6.2. Local travel for APCC staff to visit agriculture sites.  Costings of 2 pax 3-day inter-island trip for connection in outer islands @ USD 900 ea (USD600 rtn flight, DSA 100 USD per day)</t>
  </si>
  <si>
    <t>Sub-activity 1.2.6.2. Publishing and printing materials e.g. data collection tools\, manuals, digitization of printed maps etc</t>
  </si>
  <si>
    <t>Sub-activity 1.2.6.3. Training Workshop: OSCAR and Agromet Bulletin Training Program (3 days) for utilization of OSCAR and conducting field trials for verification utilizing agromet bulletins and gaining feedback on OSCAR with total 30 participants (including 6 participants from outer islands).  Costs include: 30 participants at USD50/person/day for venue and food + 500 USD for workshop related materials.  Travel for 6 participants from outer islands @ 1100 USD ea (flight @ USD 600 + DSA USD100 per day/person, 5 days inclusive of travel days)</t>
  </si>
  <si>
    <t>Sub-activity 1.2.6.4. Travel APCC to attend training workshop and inter-island visit.  2 pax x 7 day international trip from S. Korea to Vanuatu @ USD 4,750 ea (USD3,000 int'l flight rtn, DSA USD250 per day/person)</t>
  </si>
  <si>
    <t>Sub-activity 1.2.6.4. Community-based Farmer Field School Community Consultations (Total 5 two-day consultations in various locations in Vanuatu): Community-based knowledge and technique transferring through relevant platforms such as farmer field schools for target Next/End-users: 5 consultations @ 1000 ea (venue hire, catering, transport, cultural obligations etc.)</t>
  </si>
  <si>
    <t>Sub-activity 1.2.6.4. Community Based Farmer Field School Workshops- 2 pax x 7 day international trip from S. Korea to Vanuatu @ USD 4,750 ea (USD3,000 int'l flight rtn, DSA USD250 per day/person)</t>
  </si>
  <si>
    <t>Sub-activity 1.2.6.4. Community Based Farmer Field School Workshops- 4 local trips for 2 APCC staff for 3 days including inter-island trip).  Based on 2 pax x 4 inter-island trips for connection in outer islands @ USD 900 ea (USD600 rtn flight, DSA 100 USD per day)</t>
  </si>
  <si>
    <t>Sub-activity 1.2.6.3. Training Workshop: OSCAR Validation Training Workshop: Final training workshop (3 days) to launch and familiarize participants with the utilization of the final version of OSCAR along with information regarding its validation with 30 participants at 50/person/day for venue and food.</t>
  </si>
  <si>
    <t>Sub-activity 1.2.6.3. Travel APCC to conduct OSCAR Validation Training Workshop.  3 pax x 7 day international trip from S. Korea to Vanuatu @ USD 4,750 ea (USD3,000 int'l flight rtn, DSA USD250 per day/person)</t>
  </si>
  <si>
    <t>Sub-activity 1.2.6.3. Field Trial Costs: 15,000(2020)=labor(2 persons @ 500USD/month/person for 6months)+land/crop rent fee for 2crops @3sites + travel fees) + field tools/crop seeds/etc.; 23,200(2021)=labor(3 persons @ 500USD/month/person for 6months)+land/crop rent fee for 4crops @3sites + travel fees + field tools/crop seeds/etc.; 20,000(2022)=labor(3 persons @ 500USD/month/person for 6months)+land/crop rent fee for 3crops @3sites + travel fees + field tools/crop seeds/etc.</t>
  </si>
  <si>
    <t xml:space="preserve"> Sub-activity 1.2.6.3. Travel APCC to conduct OSCAR Validation Training Workshop.  3 pax x 7 day international trip from S. Korea to Vanuatu @ USD 4,750 ea (USD3,000 int'l flight rtn, DSA USD250 per day/person)</t>
  </si>
  <si>
    <t>Sub-activity 1.2.6.3. Field Trial Travel to  various field trial sites  in outer islands to set up field trials, set up data collection, and conduct trainings on field trial standard operating procedures.  Costing based on 4 pax x 3 day local trip within Vanuatu @ USD 900 ea (USD600 local flight rtn, DSA USD100 per day/person)</t>
  </si>
  <si>
    <t>Sub-activity 1.2.6.4. Professional Services: Professional Services: APCC scientists USD38,880 allocation including collaboration with a sub-contracted IT company to develop the Crop-Climate Diary (CCD)</t>
  </si>
  <si>
    <t>Sub-activity 1.2.6.4. IT Equipment: 12 tablets @ USD500 each (2 per province) for the training and collection of agro-met data through the mobile CCD App</t>
  </si>
  <si>
    <t xml:space="preserve">Sub-activity 1.2.6.4. Year 1: International travel: Int'l travel (8-day) with technical team (2 people) to survey the existing servers and gather data   Airfares (Korea-Vanuatu rtn) = $3,000 / person; DSA (APCC rates) $250 / day/ person.  Total: $6,000+$4,000 = $10,000 </t>
  </si>
  <si>
    <t>Sub-activity 1.2.6.4. Year 1: Workshops: 4-day training program for agro-met data collection with 11 participants at USD50/person/day for venue and catering, 6 participants from outer islands (flight @ USD500 + 5 days DSA @ USD100/day = 7600)</t>
  </si>
  <si>
    <t>Sub-activity 1.2.6.4. APCC Salary + Co-Financing: [2020] 6 months salary for 7 person team (230.045 USD), 100% co-financing = 230,045 USD;  [2021] 6 months salary for 7 person team (236.485 USD), 76% co-financing = 179,725 USD; [2022] 6 months salary for 7 person team (243.105 USD), 70% co-financing = 170,175 USD</t>
  </si>
  <si>
    <t>Sub-activity 1.2.6.4. Co-financing (APCC) [2020] 6 months salary for 7 person team (230.045 USD), 100% co-financing = 230,045 USD;  [2021] 6 months salary for 7 person team (236.485 USD), 76% co-financing = 179,725 USD; [2022] 6 months salary for 7 person team (243.105 USD), 70% co-financing = 170,175 USD</t>
  </si>
  <si>
    <t>Sub-activity 1.2.6.4. APCC Management Fee: 17,520(2020)+14,675(2021)+8,750(2022):5% APCC management fee for Activity  1.2.6 each year</t>
  </si>
  <si>
    <t>Component 1: Contingency (Combined FFA Contintency C1 and C5)</t>
  </si>
  <si>
    <t>Activity 2.1.1</t>
  </si>
  <si>
    <t>Activity 2.1.1. Salaries: Agriculture Sector Coordinator based on Vanuatu Government remuneration rates</t>
  </si>
  <si>
    <t>Activity 2.1.1. Local labour: Establishing demostration plots, land clearing, fencing.  4 x contractors @ US$10 / day x 14 days x 13 sites</t>
  </si>
  <si>
    <t>Activity 2.1.1. ocal labour: Maintenance of demonstration plots.  2 x contractors @ US$10 / day x 7 days x 13 sites</t>
  </si>
  <si>
    <t>Activity 2.1.1. Fencing materials - initial construction: 13 hammers ($10.25 each); 10 cartons nails ($135.30 each); 10 cartons staples ($135.30 each); 10 chainsaws ($1,730 each).</t>
  </si>
  <si>
    <t>Activity 2.1.1. Fencing materials - ongoing maintenance: 13 hammers ($10.25 each); 10 cartons nails ($135.30 each); 10 cartons staples ($135.30 each)</t>
  </si>
  <si>
    <t>Activity 2.1.1. Production tools: 100 spades ($50 each); 100 hoes ($20 each); 100 forks ($29.90 each); 100 iron rakes ($15.96); 100 pruning saws ($53.70 each); 2 brass cutters ($380 each); 40 cartons planter bag (20 cocoa/20 kava) ($500 each); 200 seedling trays ($4.10 each);  planting materials ($1000) 6 cartons vegetable seeds $800 each; 10 nursery shade cloth ($795 each)</t>
  </si>
  <si>
    <t>Activity 2.1.1. Irrigation materials: 10 garden hoses ($63.50); 100 watering cans ($17.45); 2 poly pipe 400m ($920 each); 20 poly tee ($15.90 each); 10 galv tap stand ($59.35 each); 20 teflon tape ($0.70 each); 10 poly end connect female ($8 each); 2 pressure pumps ($1,076.25 each); 5 water tanks 1500 gallons ($2,150 each)</t>
  </si>
  <si>
    <t>Activity 2.1.1. GPS ($400); Safety equipment i.e. 2 x safety shoes ($160 each)</t>
  </si>
  <si>
    <t>Activity 2.1.1. Office supplies (stationery, printer cartridges)</t>
  </si>
  <si>
    <t>Activity 2.1.1. Local Travel (Sector Coordinator): $1,100 / trip x 13 sites per year (5 day trip) (Airfares $600; DSA $50 / day)</t>
  </si>
  <si>
    <t>Activity 2.1.1. Field costs: Truck / vehicle hire, fuel, cultural obligations etc</t>
  </si>
  <si>
    <t>Activity 2.1.1. Transport for materials to 13 sites</t>
  </si>
  <si>
    <t>Activity 2.1.1. Consultant: Training for DARD and VARTC technical Staff on QGIS</t>
  </si>
  <si>
    <t>Activity 2.1.1. Consultant travel: 1 trip for training on QGIS</t>
  </si>
  <si>
    <t>Activity 2.1.1. Workshop:  Training program/workshop (5 days) for QGIS with 20 participants at USD50/person/day for venue and food, 13 participants from outer islands (rtn flight @ USD600 + DSA &amp; Accomm @ USD100 per day/person)</t>
  </si>
  <si>
    <t>Activity 2.1.1.. Community consultations including climate field schools for farmers: Venue, catering, transport costs for participants, materials.  Based on Year 1 = 7 sites; Year 2 = 6 sites; Years 3 &amp; 4 = 13 sites x 2 consultations each</t>
  </si>
  <si>
    <t>Activity 2.1.1. Laptop x 1 ($770); Projector x 1 ($770); Printer x 1 ($350); Desktop computer (1 computer desktop @USD2,000 +2 powered speaker @USD883.48 + live stadio mix @USD930.43 + smart acoastic@USD104.35 +Mic cable @USD41.74 =USD3,960) - also to be used for Ag Field Days</t>
  </si>
  <si>
    <t>Activity 2.1.1. Fencing materials and supplies for plots.  Costing for fencing wire and posts etc is based on demonstration plot size of 50m x 25m. Since 2 plot per site it will require 26 pig fences of 100m and 26 pig fences of 50m.</t>
  </si>
  <si>
    <t>Activity 2.1.1. Camera x 2 ($1,100 each); Mobile phone x 1 ($400)</t>
  </si>
  <si>
    <t>Activity 2.1.1. Awareness raising events e.g National Agriculture Day, VARTC Open Day.  Costing based on $3,000 / site for sponsorship, transport for farmers, information stands, demonstrations etc</t>
  </si>
  <si>
    <t>Activity 2.1.2</t>
  </si>
  <si>
    <t>Activity 2.1.2. Salaries: Fisheries Sector Coordinator based on Vanuatu Government remuneration rates</t>
  </si>
  <si>
    <r>
      <t xml:space="preserve">Activity 2.1.2.  Previous activity removed (refer orange text).  Funds are for the implementation of CIS-related activities under the Fisheries Management Plans.  </t>
    </r>
    <r>
      <rPr>
        <sz val="8"/>
        <color theme="5"/>
        <rFont val="Arial"/>
        <family val="2"/>
      </rPr>
      <t>Storage Facilities in Sites (Toman Island, Malekula; Votlo, South Epi; Port Resolution, South Tanna; Naone, West Maewo): Costs for renovation of existing facility to convert to fisheries storage $15,000 / site (2 sites in Year 1 and 2 sites in Year 2) includes materials, labour, freight, transport, building permits etc</t>
    </r>
  </si>
  <si>
    <t>Activity 2.1.2. Site travel: 2 trips per year for 4 people (Sector Coordinator; Master Fisherman, Provincial Officer, Research Officer): $1,100 per trip per person (Airfares $600, DSA $50/day, Accommodation $50 / day) for a 5-day visit.  Total for 4 people x 2 trips / year x 4 sites = $8,800 / person x 4 people</t>
  </si>
  <si>
    <t>Activity 2.1.2. Community trainings in MPA, CIS, food storage and preservation techniques: 1 training per site per year @ $1,000 per training session. Total = $1,000 x 4 sites per year</t>
  </si>
  <si>
    <t>Activity 2.1.2. Equipment: Solar freezer for fish preservation and storage approx $700 each x 4 sites (Costing based on 500L DC Solar Power Freezer); projector for trainings in field</t>
  </si>
  <si>
    <t xml:space="preserve"> Activity 2.1.2. Office consumables e.g. stationery, field books, printer cartridges etc </t>
  </si>
  <si>
    <t>Activity 2.1.2. Freight and transport for equipment and materials to sites</t>
  </si>
  <si>
    <t>Activity 2.1.2. Awareness materials for community trainings and information sessions ($1,000 / yr); Development of Management Booklet for CCA (Year 2 - $3,000)</t>
  </si>
  <si>
    <t>Activity 2.1.2. Consumables e.g. COTs materials / supplies, safety equipment</t>
  </si>
  <si>
    <t>Activity 2.1.3</t>
  </si>
  <si>
    <t>Activity 2.1.3. Salaries: Infrastructure Sector Coordinator based on Vanuatu Government remuneration rates</t>
  </si>
  <si>
    <t>Activity 2.1.3. Consultant for training to PWD Engineers and architects on using LIDAR data and integrating into design standards.  $600 / day x 15 days</t>
  </si>
  <si>
    <t>Activity 2.1.3. Travel for consultant.  Based on costing of $3,750 based on Melbourne - Port Vila rtn (Airfares, DSA, Accommodation) for 1 week</t>
  </si>
  <si>
    <t>Activity 2.1.3. Equipment procurement of drone for imagery of infrastructure sites to complement LIDAR data</t>
  </si>
  <si>
    <t>Activity 2.1.3. Software: ArchiCAD 22 software for analysis of LIDAR Data.  Based on pricing for version 17</t>
  </si>
  <si>
    <t>Activity 2.1.3. Site travel (Tanna &amp; Malekula): Year 1 - 2 trips to each island for 3 people x 5 days each = $1,100 / person / trip ($6,600).  Year 2021 - 2023: 3 trips per year x 1 person (Sector Coordinator) = $1,100 / person / trip ($9,900).  Airfares $600 each; DSA $50 / night; Accommodation $50 / night</t>
  </si>
  <si>
    <t>Activity 2.1.3. Site travel (Efate): Year 1 - 3 trips x 3 people; Year 2 - 3 trips x 3 people; Years 3 &amp; 4 - 2 trips x 3 people.  Each trips = $200 (vehicle rental and fuel); $50 / person food, field costs, miscellaneous</t>
  </si>
  <si>
    <t>Activity 2.1.3. Training / Workshop for Provincial PWD Officers (6 Provinces: 1 Manager and 1 Engineer from each province) plus Efate based PWDs.  To discuss and train on technologies for mapping and updating Guidelines. Total = $14,250 (Venue &amp; Catering $50/day/pp x 3 days = $2,250; Airfares $600 / pp x 12 people = $7,200; DSA (inc. accommodation) $100 / pp / day x 4 days = $4,800)</t>
  </si>
  <si>
    <t>Activity 2.1.3. Training / Workshop for Provincial PWD Officers (6 Provinces: 15 participants) to train and apply CIS tools to planning and Guidelines at case study sites.  Total = $9,900. Venue &amp; Catering = $50 / pp x 1 day ($755) x 6 Provinces ($4500); Airfares $600 x 2 people (Efate-based PWD) x 6 Provinces ($7,200); DSA (incl accommodation) $100 / day / pp x 2 people x 18 days ($1,800)</t>
  </si>
  <si>
    <t>Activity 2.1.3. Training / Workshop for Provincial PWD Officers (6 Provinces: 1 Manager and 1 Engineer from each province) plus Efate based PWDs.  To discuss and train on CIS tools, Guidelines and technologies for mapping. Total = $14,250 (Venue &amp; Catering $50/day/pp x 3 days = $2,250; Airfares $600 / pp x 12 people = $7,200; DSA (inc. accommodation) $100 / pp / day x 4 days = $4,800)</t>
  </si>
  <si>
    <t>Activity 2.1.3. Freight for equipment, materials etc to Provinces</t>
  </si>
  <si>
    <t>Activity 2.1.3. Office consumables e.g. stationery, field books, printer cartridges etc</t>
  </si>
  <si>
    <t>Activity 2.1.3. Communication products for Provinces awareness raising and reports and Standards: publishing and printing; project collateral</t>
  </si>
  <si>
    <t>Activity 2.1.4</t>
  </si>
  <si>
    <t xml:space="preserve">Activity 2.1.4. Salaries: Water Sector Coordinator based on Vanuatu Government remuneration rates </t>
  </si>
  <si>
    <t>Activity 2.1.4. Hydrologist to assemble / install flood 45-gauge instruments; undertake training and operating and maintenance of instruments. $250 / day - Yr 1 (40 days); Yr 2-Yr 4 (20 days / year)</t>
  </si>
  <si>
    <t xml:space="preserve">Activity 2.1.4. International firm to develop the Flood Management Plan and Early Warning System </t>
  </si>
  <si>
    <t>Activity 2.1.4. Awareness raising, products and information e.g. hazard maps, brochures, radio segments.</t>
  </si>
  <si>
    <t>Activity 2.1.4. Procurement and installation of OTT Maximum Water Level Gauges (10 units @ $1,400 / unit = $14,000)</t>
  </si>
  <si>
    <t>Activity 2.1.4. Groundwater level loggers (6 units @ $2,000 / unit = $12,000)</t>
  </si>
  <si>
    <t>Activity 2.1.4. Annual repair and maintenance of river gauges</t>
  </si>
  <si>
    <t>Activity 2.1.4. Travel to site: Sector Coordinator x 4 trips / year x 5 days each - Vila to Santo (Airfares $600; DSA $50 / day; Accomm $50 / day) = $4,400 / year.  DoWR Director 2 trips (1 each in Year 1 and 4) 5 days each trip - Vila to Santo (Airfares $600; DSA $50 / day; Accomm $50 / day) = $1,100 / trip)</t>
  </si>
  <si>
    <t>Activity 2.1.4. Co-financing (DoWR): Transport and logistics on Santo</t>
  </si>
  <si>
    <t>Activity 2.1.4. Office consumables e.g. stationery, field books, printer cartridges etc</t>
  </si>
  <si>
    <t>Activity 2.1.4. Training: Sanna Provincial staff training workshop on use of river gauges, monitoring and collecting data.  25 people @ $50 / person  for 2 days - for venue, catering, training costs = $2,500</t>
  </si>
  <si>
    <t>Activity 2.1.4. Workshop: Annual stakeholder workshop coordinated with Water Dept. 25 people @ $50 / person per day x 2 days = $2,500</t>
  </si>
  <si>
    <t>Activity 2.1.4. Freight for materials and equipment, spare parts to site (Removed from budget line 19 August 2021 at request of EE.  Freight now under sub-activity 1.2.1.1)</t>
  </si>
  <si>
    <t>Activity 2.1.5</t>
  </si>
  <si>
    <t xml:space="preserve">Activity 2.1.5. Salaries: Tourism Sector Coordinator based on Vanuatu Government remuneration rates  </t>
  </si>
  <si>
    <t>Activity 2.1.5. Consultant to support the development of Standard Operating Procedures and Guidelines.  $250 / day @ 40 days</t>
  </si>
  <si>
    <t>Local consultant to undertake tourism CIS survey.  Based on $450 / day x 80 days.  Includes travel to Tanna, Santo and Efate</t>
  </si>
  <si>
    <t>Activity 2.1.5. Co-financing (Tourism) Travel costs and vehicle maintenance and insurance</t>
  </si>
  <si>
    <t>Activity 2.1.5. Travel to Site (Santo): 4 trips / year @ $1,100 per trip for 5 day field visit (Airfares $600, DSA $50 / day, Accommodation $50 / day)</t>
  </si>
  <si>
    <t xml:space="preserve">Activity 2.1.5. Site travel (Efate): 4 trips / year x 2 people; Each trips = $200 (vehicle rental and fuel); $50 / person food, field costs, miscellaneous </t>
  </si>
  <si>
    <t>Activity 2.1.5. Consultations with local tourism operators: 4 / year for Santo and 4 / year for Efate.  $1,000 per consultation includes venue, catering, materials, transport costs to bring operators to consultation</t>
  </si>
  <si>
    <t>Activity 2.1.5. Sponsorship / support to the annual Tourism Council meetings - engagement on Project findings, CIS tools, products and information.  Support will include sponsorship costs, contribution towards catering, venue hire</t>
  </si>
  <si>
    <t>Activity 2.1.5. Co-financing (Tourism) Sponsorship of Tourism Council meetings</t>
  </si>
  <si>
    <t xml:space="preserve">Activity 2.1.5. Office consumables e.g. stationery, field books, printer cartridges etc </t>
  </si>
  <si>
    <t>Activity 2.1.5. Co-financing (Tourism): Office supplies</t>
  </si>
  <si>
    <t>Activity 2.1.6</t>
  </si>
  <si>
    <t>Activity 2.1.6. Site Assessments: Workshops:  One workshop at VMGD or Ministry per sector (x10 people) to bring together relevant personnel (e.g. Ministry, PMU, DP) to review and validate assessments and activities ($300)</t>
  </si>
  <si>
    <t>Activity 2.1.1 -2.1.5. Co-financing (Sectors): Staff time for Sector Department and Provincial Staff to participate in Project activities on-ground, office supplies, equipment, vehicles, workshop venues and support etc</t>
  </si>
  <si>
    <t>Activity 2.1.6. Site Assessments: Community consultations: estimated cost of food, venue and associated costs ($800*24 sites = $19,200 )</t>
  </si>
  <si>
    <t xml:space="preserve">Activity 2.1.6. Site Assessments - Local travel:  Travel costs to sites to undertake the site assessments for 5 sectors.  Based on 4 ppl / trip @ 3 days per site visit.  Cost per person:  Airfares $500 DSA $300 ($100/day).  Total cost per site visit = $3,200.  Total budget = $3,200 / 24 sites = $76,800 </t>
  </si>
  <si>
    <t>Activity 2.2.1</t>
  </si>
  <si>
    <t>Activity 2.2.1. Partnership / Stakeholder and Community Coordinators and Support Officer: Based on consultant rate of $450 / day x 200 days per year (original CC contract).  Responsible for establishment and implementation of community-based CIS including Climate Centres, flow of information, tools etc.  New function will be 2 local consultants to undertake roles of Stakeholder &amp; Partnership Coordinators for Provincial and Community level in rolling out CIS.  Costed at US$350 / day x 180 days ($126,000), supported by 1 local consultant - Community engagement Officer costed at $150/day x 180 days ($27,000)</t>
  </si>
  <si>
    <t>Activity 2.2.1. Co-financing (VMGD).  Provincial staff time to assist in establishment of Community Climate Centres: renovations and maintenance, and community engagement activities</t>
  </si>
  <si>
    <t>Activity 2.2.1. Establishment of Community Climate Centres: renovations and maintenance - $10,000 / site allocated.  Full assessment to be undertaken and submitted to IA prior to funds released</t>
  </si>
  <si>
    <t>Activity 2.2.1. Establishment of remaining Community Climate Centres: renovations and maintenance - $10,000 / site allocated.  Full assessment to be undertaken and submitted to IA prior to funds released.  Funds will not be released until the assessments on initial Climate Centres has been undertaken as per the work programme</t>
  </si>
  <si>
    <t>Activity 2.2.1. Includes all Community Climate Centre activities e.g. Operating costs for Climate Centres: $3,000 / year x 2 centres (Yr 1), 6 Centres (Yr 2), 12 Centres (Yr3 &amp; 4); community awareness sessions, travel to centres, Climate Champions etc</t>
  </si>
  <si>
    <t>Activity 2.2.1. 12 tablets for community champions - demonstration for CIS tools, Apps, products, information</t>
  </si>
  <si>
    <t>Activity 2.2.1. Community champions operational costs ($15 / day / 120 days) 15*120 = $1,800 per champion  calculations based on 1 champion per site</t>
  </si>
  <si>
    <t xml:space="preserve">Activity 2.2.1. Travel to Sites:  Yr 1 = 2 sites x 3 trips / year @ $1,100 / trip for 5-day trip (Airfares $600, DSA $50 /day, Accomm $50 /day); Yr 2 = 6 sites x 3 trips; Year 3 &amp; 4 = 12 sites x 3 trips </t>
  </si>
  <si>
    <t>Activity 2.2.1. Travel for 24 Climate Champions (x 12 in Yr 1) to undertake training and capacity building in Port Vila with VMGD, Sectors and Delivery Partners.  $1,100 / trip x 5-days (Airfare $600, DSA $50 / day, Accomm $50 / day).  One trip per year.</t>
  </si>
  <si>
    <t>Activity 2.2.1 Site Assessments. Travel as per second disbursement work plan and budget</t>
  </si>
  <si>
    <t>Activity 2.2.1 Site Assessments. Community consultations as per second disbursement work plan and budget</t>
  </si>
  <si>
    <t>Activity 2.2.1 Site Assessments workshop findings as per second disbursement workplan and budget</t>
  </si>
  <si>
    <t xml:space="preserve">Activity 2.2.1. Field costs for site visits: transport, fuel, cultural obligations </t>
  </si>
  <si>
    <t>Activiy 2.2.1. Freight &amp; transport to ship equipment, materials etc to Centres</t>
  </si>
  <si>
    <t xml:space="preserve">Activity 2.2.1 Office consumables e.g. stationery, field books, printer cartridges etc  </t>
  </si>
  <si>
    <t>Activity 2.2.1. Community consultations @ $1,000 / community consultation (Venue, catering, local transport for participants, cultural obligations, miscellaneous)</t>
  </si>
  <si>
    <t>Activity 2.2.1. Citizen Science activities - linked to the Community Climate Centres</t>
  </si>
  <si>
    <t>Activity 2.2.1. Other - Community Centres actions / activities / community led projects using CIS</t>
  </si>
  <si>
    <t>Activity 2.3.1</t>
  </si>
  <si>
    <t>Sub-activity 2.3.1.1. Salary:  Staff costed at 0.59 FTE salaries for CSIRO scientists</t>
  </si>
  <si>
    <t>Sub-activity 2.3.1.1 Co-financing (CSIRO) Salary:  Staff costed at 0.59 FTE salaries for CSIRO scientists</t>
  </si>
  <si>
    <t>Sub-activity 2.3.1.1  Travel (5 trips): Rtn Melbourne - Port Vila return for 5 days costed at $3,750 including airfare and DSA (based on CSIRO travel rates).</t>
  </si>
  <si>
    <t>Sub-activity 2.3.1.2.  Salary:  Staff costed at 1.25 FTE salaries for CSIRO scientists</t>
  </si>
  <si>
    <t>Sub-activity 2.3.1.2. Co-financing (CSIRO) Salary:  Staff costed at 1.25 FTE salaries for CSIRO scientists</t>
  </si>
  <si>
    <t>Sub-activity 2.3.1.2. Co-financing (VMGD) Climate Division to support development of SEB report</t>
  </si>
  <si>
    <t xml:space="preserve">Sub-activity 2.3.1.2.  Travel (3 trips): Rtn Melbourne - Port Vila return for 5 days costed at $3,750 including airfare and DSA (based on CSIRO travel rates). </t>
  </si>
  <si>
    <t>Component 2: Contingency</t>
  </si>
  <si>
    <t>Activity 3.1.1</t>
  </si>
  <si>
    <t>Activity 3.1.1. Traditional knowledge Officer based on Vanuatu Government remuneration rates</t>
  </si>
  <si>
    <t>Activity 3.1.1. Co-financing (VMGD) Salary: VMGD Climate Manager</t>
  </si>
  <si>
    <t>Activity 3.1.1. Salary: BOM Traditional knowledge expert 0.2 FTE each year for 2 years to work with VMGD and Sectors to link TK with science data from the project</t>
  </si>
  <si>
    <t>Activity 3.1.1. Co-financing (BOM) Salary: BOM Traditional knowledge expert 0.2 FTE each year for 2 years to work with VMGD and Sectors to link TK with science data from the project</t>
  </si>
  <si>
    <t>Activity 3.1.1. Co-financing (VMGD) Salary: VMGD staff</t>
  </si>
  <si>
    <t>Activity 3.1.1. Travel (x 6 trips): BOM expert costed at $3,500 / trip Sydney - Port Vila rtn for a 5-day visit.  Based on BOM travel rates. Year 2 will include 2-3 BOM people for training</t>
  </si>
  <si>
    <t>Activity 3.1.1. Salary: BOM Traditional knowledge expert 0.3 FTE for 1 year to integrate CIS and communication products, with traditional knowledge, ground-truth and outreach</t>
  </si>
  <si>
    <t>Activity 3.1.1. Co-financing (BOM) Traditional knowledge expert 0.3 FTE for 1 year to integrate CIS and communication products, with traditional knowledge, ground-truth and outreach</t>
  </si>
  <si>
    <t>Activity 3.1.1. Co-financing (VMGD) Staff support to integrate CIS and communication products, with traditional knowledge, ground-truth and outreach</t>
  </si>
  <si>
    <t>Activity 3.1.1. Salary: BOM to develop sector/hazard specific CLEWS combining traditional knowledge, seasonal forecasts (and other science-based information systems)</t>
  </si>
  <si>
    <t xml:space="preserve">Activity 3.1.1. Co-financing (BOM) Salary: BOM to develop sector/hazard specific CLEWS combining traditional knowledge, seasonal forecasts (and other science-based information systems) </t>
  </si>
  <si>
    <t xml:space="preserve">Activity 3.1.1. Publishing and printing of TK reports and training materials </t>
  </si>
  <si>
    <t xml:space="preserve">Acitivity 3.1.1. Workshop (x1): 30 participants at $50 / pp / day x 3 days = $4,500 (venue, catering, miscellaneous). Plus 8 Provincial staff at $1,000 each (Airfare $600, DSA $50 / day x 4 days; Accommodation $50 / day x 4 days) = $8,000. </t>
  </si>
  <si>
    <t>Activity 3.1.1. Co-financing (VMGD) VMGD Office space</t>
  </si>
  <si>
    <t>Activity 3.1.1. Travel: 6 sites: 2 trips / year / site (x 2 pp).  Airfares $600 / trip; Accommodation $50 / night; DSA $50 / day x 5 days = $1,100 per trip</t>
  </si>
  <si>
    <t>Activity 3.1.1. Travel: SPREP TK Specialist: 2 trips / year.  International travel: Travel costs for SPREP TK expert to work with VMGD to determine TK needs and ensure linkages across components and activities in work packages.  Based on 2 trips at 7 days each.  Airfare (Apia - Port Vila) =  $1,200; DSA (SPREP rates) = $274/day @ 14 days.  Local travel = $600 / trip x 2 / year</t>
  </si>
  <si>
    <t>Activity 3.1.1. Community consultations: 6 sites x 2 visits per year @ $1,000 / site / consultation (venue, catering, materials)</t>
  </si>
  <si>
    <t>Activity 3.1.1.  Field costs e.g. truck / vehicle hire, boat hire, fuel, charges etc.  $500 / trip</t>
  </si>
  <si>
    <t>Activity 3.1.1.  Workshop with Government and Sectors in Efate to discuss information, develop products etc.  3 Day workshop each year for 20 people @ $50 / pp / day = $3,000 / workshop (venue, catering, materials, miscellaneous)</t>
  </si>
  <si>
    <t xml:space="preserve">Activity 3.1.1..  Digital camera, recording device (interviews); Portable HDDs, Scanner </t>
  </si>
  <si>
    <t>Activity 3.1.1.  Adobe software suite - license and annual license fee</t>
  </si>
  <si>
    <t>Activity 3.1.1. Office consumables e.g. stationery, printer cartridges, phone data</t>
  </si>
  <si>
    <t>Activity 3.1.1. Equipment: 25 Tablets for collecting data</t>
  </si>
  <si>
    <t>Activity 3.1.1. Laptop for TK Officer.  $2,000</t>
  </si>
  <si>
    <t>Activity 3.1.1. TK registration fees and costs</t>
  </si>
  <si>
    <t>Activity 3.2.1</t>
  </si>
  <si>
    <t>Sub-activity 3.2.1.1. Co-financing (VMGD): Equivalent 6 months staff time (Climate Division team) in years 2 &amp; 3 designing and developing new climate information products, i.e. climate bulletins for the five sectors and general public (as per usual), in years 3 &amp; 4 (equivalent 2 months) for design modifications</t>
  </si>
  <si>
    <t>Sub-activity 3.2.1.1. Professional services:  Publishing materials; Printing for Climate Services Divisions to print Vanuatu Climate Update bulletins</t>
  </si>
  <si>
    <t>Sub-activity 3.2.1.1. Five digital display walls / screens for Sectors - display and access CIS information and Apps.  Based on average costing of $10,625 (Samsung QPR-K Series 82") - $6,000 (LG 86" TR3BF-B Series IR Multi-Touch Point UHD IPS Digital Display)</t>
  </si>
  <si>
    <t>Sub-activity 3.2.1.1. Consultant to establish digital displays with dashboards and apps, and train Sector personnel.  $600 x 30 days</t>
  </si>
  <si>
    <t>Sub-activity 3.2.1.1. Consultant travel to Port Vila - based on $5500 = 14 day trip (Airfares, DSA)</t>
  </si>
  <si>
    <t>Sub-activity 3.2.1.1. Travel to Provinces (x6) each year to inform and train Provincial staff in CIS tools and products.  Travel is for 2 people x 6 trips / year @ $1,100 / trip (5 days) (Airfares $600, DSA $50 / day, Accomm $50 /day)</t>
  </si>
  <si>
    <t>Sub-activity 3.2.1.1. International travel:  Travel costs for one person from the SPREP Pacific Met Desk ('Help Desk') to work with VMGD to assist VMGD re work packages on CIS tools development and pathway to uptake  (4 trips x 5 days @ $3,200 / trip). Costs include $1,918 (7 days DSA based on SPREP rate of $274/day).  Airfare $1,200 from Apia to Port Vila return. Total = $12,800</t>
  </si>
  <si>
    <t>Sub-activity 3.2.1.1. Training workshops for Provinces on CIS tools and products.  Based on 6 per year (1 / Province) costed on 15 participants at $50 / pp (Venue, catering, local transport) x 2 days each</t>
  </si>
  <si>
    <t>Sub-activity 4.1.1.1.  Salary for CIS Officer to embed CIS into Sectors and work with VMGD to ensure CIS tools and information are developed and disseminated.  Total annual salary: 2022 ($130,000), 2023 ($155,000)</t>
  </si>
  <si>
    <t>Sub-activity 3.2.1.1. Salaries: Lead seasonal forecast climatologist 0.15 FTE</t>
  </si>
  <si>
    <t>Sub-activity 3.2.1.1. Co-financing (BOM) Salaries:  Lead seasonal forecast climatologist 0.15 FTE</t>
  </si>
  <si>
    <t xml:space="preserve">Sub-activity 3.2.1.1.  Co-financing (VMGD) Salaries: Seasonal and Climate Forecast staff </t>
  </si>
  <si>
    <t>Sub-activity 3.2.1.1. Travel: 2 trips for 5 days - Sydney - Port Vila rtn @ $3,500 each (Airfares, DSA and Accommodation)</t>
  </si>
  <si>
    <t>Activity 3.3.1</t>
  </si>
  <si>
    <t>Actvity 3.3.1.  Communication Coordinator:  Based on 200 days per year (10 months) at $445 / day = $89,000 / year</t>
  </si>
  <si>
    <t>Activity 3.3.1. Consultant (Local):   Work with Communication Coordinator to implement KM and Communication Strategy, develop project branding and guides, project products and information,</t>
  </si>
  <si>
    <t xml:space="preserve">Activity 3.3.1. Consultant Travel:  $3,750 / trip ex Australia - Port Vila (Airfares, DSA and Accommodation x 5 days).  </t>
  </si>
  <si>
    <t>Activity 3.3.1. Communication Coordinator travel: 1 trip per year to Apia to work with CCR, IA and SPREP communication team.  Based on 1 trips at 7 days.  Airfare (Apia - Port Vila) =  $2,000; DSA (SPREP rates) = $274/day @ 7 days.  Contingency added due to increase in airfares</t>
  </si>
  <si>
    <t>Activity 3.3.1. Travel to sites: 20 trips x $1,100 / trip for a 5-day visit.  Airfare $600, DSA $50 / day, Accommdation $50 / day</t>
  </si>
  <si>
    <t>Activity 3.3.1. Professional Services.  Allocated for audience engagement i.e. VBTC, Wan Smol Bag, Vanuatu Media Marketing, Social media advertising</t>
  </si>
  <si>
    <t>Activity 3.3.1. Allocation per year for non-professional services costs of production of KM and communication tools, products and information, events i.e. website updating, social media, campaigns, project products and information brochures, community information etc</t>
  </si>
  <si>
    <t>Activity 3.3.1. Monitoring &amp; Evaluation: Audience baseline survey and exit survey</t>
  </si>
  <si>
    <t>Activity 3.3.1. Freight / transport of KM, awareness and outreach products to Provinces and sites</t>
  </si>
  <si>
    <t>Activity 3.3.1. Laptop and IT equipment, software for the Communication Coordinator</t>
  </si>
  <si>
    <t>Activity 3.3.1. Consumables e.g. stationery, materials for community work, printer cartridges</t>
  </si>
  <si>
    <t>Activity 3.3.1. Workshops e.g. venue, catering, miscellaneous</t>
  </si>
  <si>
    <t>Component 3: Contingency</t>
  </si>
  <si>
    <t>Activity 4.1.1.</t>
  </si>
  <si>
    <t>Sub-activity 4.1.1.1. Consultant to work with VMGD and Sectors to develop and implement Decision Support Tree for application of CIS data into Sectors.  Based on $600 / day x 80 days</t>
  </si>
  <si>
    <t>Sub-activity 4.1.1.1. Consultant travel x 4 trips.  Based on 5 days each @ $3,750 / trip (based on Melbourne-Port Vila airfare, DSA)</t>
  </si>
  <si>
    <t>Sub-activity 4.1.1.1.  Salary for CIS Officer to embed CIS into Sectors and develop Decision Support Tree for application of CIS data.  Total annual salary: 2022 ($130,000), 2023 ($155,000)</t>
  </si>
  <si>
    <t>Sub-activity 4.1.1.1. Co-financing (VMGD) Staff time to work with consultant for institutional review and Sector Action Plans</t>
  </si>
  <si>
    <t>Sub-activity 4.1.1.1. Co-financing (VMGD) office consumables</t>
  </si>
  <si>
    <t>Sub-activity 4.1.1.2. Consultant to develop the CIS Communication &amp; Action Plans.</t>
  </si>
  <si>
    <t>Sub-activity 4.1.1.2. Workshop to get input and inform on the CIS Communication and Action Plans.  2 days each - venue hire, catering etc</t>
  </si>
  <si>
    <t>Sub-activity 4.1.1.2. Project Committee meetings e.g. Steering Committee and Technical Working Group</t>
  </si>
  <si>
    <t>Activity 4.1.2</t>
  </si>
  <si>
    <t xml:space="preserve">Sub-activity 4.1.2.1. UNSW - Review and update the Project's Gender &amp; Social Inclusion Plan. Includes fees and travel </t>
  </si>
  <si>
    <t>Sub-activity 4.1.2.1. Implementation of gender-related actions as per G&amp;SIAP gathered from the Review and Technical Assistance</t>
  </si>
  <si>
    <t>Sub-activity 4.1.2.2. Consultant to update ESM Plan. 5 days @ $750 /day</t>
  </si>
  <si>
    <t>Sub-activity 4.1.2.2. Consultant to undertake ESS assessment, and develop / update ESM Plan. 13 days @ $750 /day</t>
  </si>
  <si>
    <t>Sub-activity 4.1.2.2. Consultant travel for ESM Plan development and train the PMU.  Airfares (ex-Bangkok- Port Vila); 10 days DSA &amp; Accommodation</t>
  </si>
  <si>
    <t>Sub-activity 4.1.2.3. Consultant to work with PMU on refining M&amp;E Plan and training on implementation.  Based on $600 / day x 20 days</t>
  </si>
  <si>
    <t>Sub-activitty 4.1.2.3. Consultant travel to work on M&amp;E with PMU.  Based on $3,750 / trip x 5 days (Airfares, DSA)</t>
  </si>
  <si>
    <t>Sub-activity 4.1.2.3. Workshop for Project team training in Gender, ESS and M&amp;E and how to implement across activities.  Based on 20 participants @ $50 / pp (venue hire, catering, materials) x 2 days.  Includes refresher training</t>
  </si>
  <si>
    <t xml:space="preserve">Sub-activity 4.1.2.3. Local consultant to work with PMU and LORTA to assist in collecting baseline data and updated data </t>
  </si>
  <si>
    <t>Sub-activity 4.1.2.3. Local travel for data collection.  Based on $1,100 / trip (Airfares $600, DSA $50 /day, Accomm $50 / day) x 5 day trip x 6 trips</t>
  </si>
  <si>
    <t xml:space="preserve">Sub-activity 4.1.2.3. Costs to bring in M&amp;E, ESS and Gender experts as required for the training </t>
  </si>
  <si>
    <t>Sub-activity 4.1.2.3. Costs to undertake actions as required for M&amp;E monitoring and reporting, data collection and analysis etc</t>
  </si>
  <si>
    <t>Activity 4.2.1</t>
  </si>
  <si>
    <t>Sub-activity 4.2.1.1 Consultants to develop appropriate training packages and deliver trainings for VMGD and Sector staff as per the needs assessment findings.  $600 / day / consultant x 120 days</t>
  </si>
  <si>
    <t>Sub-activity 4.2.1.1. Co-Financing (VMGD): Staff time for training package development, feedback and for supervising and mentoring of cadets and interns (equivalent 3 months per year)</t>
  </si>
  <si>
    <t>Sub-activity 4.2.1.1.  Travel for consultants.  Based on 3 consultants x 3 trips each x $3,750 / trip</t>
  </si>
  <si>
    <t>Sub-activity 4.2.1.1. Pacific Solutions: Develop training package</t>
  </si>
  <si>
    <t>Sub-activity 4.2.1.1. Training as per the needs assessment and courses.  Based on 6 training sessions @ 15 participants x 3 days each.  Costed at $50 / pp x 3 days.  Venue, catering</t>
  </si>
  <si>
    <t>Sub-activity 4.2.1.1. Co-financing (VMGD) Workshop venue, catering</t>
  </si>
  <si>
    <t>Sub-activity 4.2.1.1. Materials for trainings</t>
  </si>
  <si>
    <t>Activity 4.2.2</t>
  </si>
  <si>
    <t>Sub-activity 4.2.2.2. Cadetships at VMGD.  Based on $10 / day x 5 Cadets per year x 3 months each</t>
  </si>
  <si>
    <t>Sub-activity 4.2.2.2. Interns at VMGD and Sectors.  2 Student on internships with VMGD and 1 student per sector sectors; minimum wage @ 80 per week for 6 months each year = $1,920 / intern</t>
  </si>
  <si>
    <t>Sub-activity 4.2.2.2. Secondments / training &amp; mentoring for VMGD and Sector staff e.g. Fiji Met Desk, CSIRO, equipment trainings etc. Based on $3,750 / pp x 5 day visit (Airfares, DSA, Accommodation) for 7 people</t>
  </si>
  <si>
    <t>Sub-activity 4.2.2.2.  PMU CIS Technical Officers to travel to Melbourne &amp; Sydney x 2 weeks for training and mentoring with CSIRO and BOM.  Based on $5,000 / pp (Airfares, DSA, Accommodation)</t>
  </si>
  <si>
    <t>Component 4: Contingency</t>
  </si>
  <si>
    <t>Activity 5.1.1.</t>
  </si>
  <si>
    <t>Activity 5.1.1. PMU Project Manager - recruitment, relocation, salary</t>
  </si>
  <si>
    <t xml:space="preserve">Activity 5.1.1. PMU Met Technical Officer.  SPREP Remuneration rates includes recruitment, relocation and end-of-contract relocation </t>
  </si>
  <si>
    <t>Activity 5.1.1. Project management specialist services (Pacific Advisory)</t>
  </si>
  <si>
    <t>Activity 5.1.1. PMU Finance &amp; Admin Officer. SPREP remuneration rates</t>
  </si>
  <si>
    <t>Activity 5.1.1. SPREP Project Accountant (time of accountant for period 1 January 2023 - 10 March 2024 for project closing)</t>
  </si>
  <si>
    <t>Activity 5.1.1. PMU travel.  Airfares, DSA and accommodation.  Based on $1,100 / local trip for 5 days</t>
  </si>
  <si>
    <t>Activity 5.1.1 Office supplies e.g. stationery and rental</t>
  </si>
  <si>
    <t>Activity 5.1.1. IT equipment - laptops, screens, accessories</t>
  </si>
  <si>
    <t>Activity 5.1.1. Annual external Audit fee</t>
  </si>
  <si>
    <t>Activity 5.1.1. Office furniture</t>
  </si>
  <si>
    <t xml:space="preserve">Activity 5.1.1. Inception Workshop (2018) </t>
  </si>
  <si>
    <t>Activity 5.1.1.Internal workshops and meetings re project-related activities (2020-2023) based on $50/pp x 3 days x 15 people ($2,250).</t>
  </si>
  <si>
    <t>Activity 5.1.1. VMGD Project Manager. Salary based on Government remuneration rates and includes end of contract severance</t>
  </si>
  <si>
    <t>Activity 5.1.1. VMGD Finance Officer. Salary based on Government remuneration rates and includes end of contract severance</t>
  </si>
  <si>
    <t>Activity 5.1.1. VMGD Admin Officer. Salary based on Government remuneration rates and includes end of contract severance</t>
  </si>
  <si>
    <t>Activity 5.1.1. VMGD Local travel to sites.  $1,100 / 5 day trip (Airfares $600, DSA $50 / day, Accom $50 / day)</t>
  </si>
  <si>
    <t>Activity 5.1.1. VMGD IT equipment</t>
  </si>
  <si>
    <t>Activity 5.1.1. VMGD Annual external Audit</t>
  </si>
  <si>
    <t>Activity 5.1.1. VMGD office expenses e.g. stationary, consumables</t>
  </si>
  <si>
    <t>Activity 5.1.1. Project workshops and meetings.  Venue hire, catering, materials</t>
  </si>
  <si>
    <t>Component 5: Contingency</t>
  </si>
  <si>
    <t>2022 Actuals</t>
  </si>
  <si>
    <t>** Reallocated from BOM to VMGD for 2024-2025</t>
  </si>
  <si>
    <t>** 15K from A27 to support salaries for 3 Climate officers for 2024</t>
  </si>
  <si>
    <r>
      <rPr>
        <sz val="9"/>
        <color rgb="FFFF0000"/>
        <rFont val="Arial"/>
        <family val="2"/>
      </rPr>
      <t xml:space="preserve">** Salary USD28,000 equivalent to Sector Coordinator rate and severance. </t>
    </r>
    <r>
      <rPr>
        <sz val="9"/>
        <color rgb="FF000000"/>
        <rFont val="Arial"/>
        <family val="2"/>
      </rPr>
      <t>Salary $1,500,000 vatu or US$13,140.  Salary rates adjusted as per contractual rates provided by VMGD and adjusted up as contingency due to exchange rates.  2023 includes 2 months end of salary as per Government severance policy</t>
    </r>
  </si>
  <si>
    <r>
      <t xml:space="preserve">Consultancy to develop VMGD Data Management &amp; Governance Policy. </t>
    </r>
    <r>
      <rPr>
        <sz val="9"/>
        <color rgb="FFFF0000"/>
        <rFont val="Arial"/>
        <family val="2"/>
      </rPr>
      <t>**CLIMSystems Contract</t>
    </r>
  </si>
  <si>
    <t>Savings</t>
  </si>
  <si>
    <t>** Reallocate to A7 to cover for salaries for Climate officer</t>
  </si>
  <si>
    <t>** Reallocate to A8 to cover for salaries for Climate officer</t>
  </si>
  <si>
    <t>** Used in the CW Contract ICT upgrade.</t>
  </si>
  <si>
    <t>** Lidvina will calculate the total CW contract and check balance</t>
  </si>
  <si>
    <r>
      <t xml:space="preserve">Funds not required.  </t>
    </r>
    <r>
      <rPr>
        <sz val="9"/>
        <color rgb="FFFF0000"/>
        <rFont val="Arial"/>
        <family val="2"/>
      </rPr>
      <t>(**Reallocated to 2024)</t>
    </r>
  </si>
  <si>
    <t>** Vanuatu Hydrometric contract with NIWA (Total USD = )</t>
  </si>
  <si>
    <t>** USD5,000 to cover the Campbell Scientific Australia Customs Training</t>
  </si>
  <si>
    <t>** Customs clearance</t>
  </si>
  <si>
    <t>** Community consultations during the upkeep and maintnance for 2024-2025</t>
  </si>
  <si>
    <t>**USD66,000 VMGD IMPREST ALL SITES</t>
  </si>
  <si>
    <t>** MOIRAH AND LIDVINA TO CHECK LPOS for Fencing, Welding</t>
  </si>
  <si>
    <t>**USD66,000 VMGD IMPREST ALL SITES - Leon PO: USD4,503.95</t>
  </si>
  <si>
    <t>** ADD BUDGET TO MAINTENANCE</t>
  </si>
  <si>
    <t>** Committed to t=he weather tender</t>
  </si>
  <si>
    <r>
      <rPr>
        <sz val="9"/>
        <color rgb="FFFF0000"/>
        <rFont val="Arial"/>
        <family val="2"/>
      </rPr>
      <t xml:space="preserve">** Radar Engineer Salary = USD28,000 / 3.0 Million VUV per year. (NEED FUNDS HERE) </t>
    </r>
    <r>
      <rPr>
        <sz val="9"/>
        <color theme="1"/>
        <rFont val="Arial"/>
        <family val="2"/>
      </rPr>
      <t>For engineer - based on salary of 1,500,000 vatu per year (US$13,140) + 2 mths salary for end of contract</t>
    </r>
  </si>
  <si>
    <r>
      <rPr>
        <sz val="9"/>
        <color rgb="FFFF0000"/>
        <rFont val="Arial"/>
        <family val="2"/>
      </rPr>
      <t xml:space="preserve">** Reallocated USD4317 to A88. </t>
    </r>
    <r>
      <rPr>
        <sz val="9"/>
        <color theme="1"/>
        <rFont val="Arial"/>
        <family val="2"/>
      </rPr>
      <t>Consultancy concluded (Cost benefit analysis)</t>
    </r>
  </si>
  <si>
    <r>
      <rPr>
        <sz val="9"/>
        <color rgb="FFFF0000"/>
        <rFont val="Arial"/>
        <family val="2"/>
      </rPr>
      <t xml:space="preserve">** Travel budget for Engineer to attend factory training. </t>
    </r>
    <r>
      <rPr>
        <sz val="9"/>
        <color theme="1"/>
        <rFont val="Arial"/>
        <family val="2"/>
      </rPr>
      <t>Not required as consultancy (CBA) was undertaken remotely</t>
    </r>
  </si>
  <si>
    <t>** Any unused BOM budget to reallocate to VMGD</t>
  </si>
  <si>
    <t>** Reallocate to support Climate staff saalries in 1.1.1</t>
  </si>
  <si>
    <t>** NIWA Climate maps (USD100,000) for 2023 and LIDAR Data for 2024-2025</t>
  </si>
  <si>
    <t>**CCD Database Server</t>
  </si>
  <si>
    <r>
      <rPr>
        <sz val="9"/>
        <color rgb="FFFF0000"/>
        <rFont val="Arial"/>
        <family val="2"/>
      </rPr>
      <t>** Higher duty allowance for Agriculture Sector Coordinator for 2024 and 2025.</t>
    </r>
    <r>
      <rPr>
        <sz val="9"/>
        <color theme="1"/>
        <rFont val="Arial"/>
        <family val="2"/>
      </rPr>
      <t xml:space="preserve"> </t>
    </r>
    <r>
      <rPr>
        <sz val="9"/>
        <color rgb="FFFF0000"/>
        <rFont val="Arial"/>
        <family val="2"/>
      </rPr>
      <t>Savings of USD2,000 can be reallocated to Raviky salary</t>
    </r>
    <r>
      <rPr>
        <sz val="9"/>
        <color theme="1"/>
        <rFont val="Arial"/>
        <family val="2"/>
      </rPr>
      <t>. Salary adjusted as per contracts: 2,700,00 vatu per year (US$23,652) with 2 months severance for 2023 as per Government policy.  Rounded up for exchange rate variances</t>
    </r>
  </si>
  <si>
    <t>** Utilised in 2023</t>
  </si>
  <si>
    <t>**Utilised in 2023</t>
  </si>
  <si>
    <t>**Budget for Maintenance of equipment</t>
  </si>
  <si>
    <r>
      <rPr>
        <sz val="9"/>
        <color rgb="FFFF0000"/>
        <rFont val="Arial"/>
        <family val="2"/>
      </rPr>
      <t>** Higher duty allowance for Water Officer</t>
    </r>
    <r>
      <rPr>
        <sz val="9"/>
        <color theme="1"/>
        <rFont val="Arial"/>
        <family val="2"/>
      </rPr>
      <t>. Salary for Engineer.  Contract ended</t>
    </r>
  </si>
  <si>
    <r>
      <rPr>
        <sz val="9"/>
        <color rgb="FFFF0000"/>
        <rFont val="Arial"/>
        <family val="2"/>
      </rPr>
      <t xml:space="preserve">**2023 Salary for Community Coordinator unused, rellocated to 2024 and 2025. </t>
    </r>
    <r>
      <rPr>
        <sz val="9"/>
        <color theme="1"/>
        <rFont val="Arial"/>
        <family val="2"/>
      </rPr>
      <t>Community Coordinator Contract #1 ended in Oct 2022.  Engagment of Partnership / Community coordinators and engagement officer</t>
    </r>
  </si>
  <si>
    <t>**Remaining budget from BOM Delivery partner will need to be reallocated to VMGD for ongoing activity with national stakeholders</t>
  </si>
  <si>
    <t xml:space="preserve">**Contract for Knowledge Broker instead of a Communication Coordinator (Locally bases) - contract $89,000 / year ($450 / day x 200 days).  </t>
  </si>
  <si>
    <t>**To support 2xPSC and 4 x TWG Meetings per year. Funds of $12,148.46 used to cover overexpenditure in prior years against other budget categories</t>
  </si>
  <si>
    <t xml:space="preserve">Gender officers / facilitators for implementation of gender-based activities.  </t>
  </si>
  <si>
    <t>**Alvin to check Audit fee for 2024-2025</t>
  </si>
  <si>
    <t>Salary updated based on contract i.e $4.5 million vatu (Annual Salary=USD40,890, Severage USD6,814).  2023 includes 2 months severance pay as per Government of Vanuatu policy.  Rounded up to account for any exchange rate discrepancies</t>
  </si>
  <si>
    <t>Salary updated based on contract i.e $2.5 million vatu (Annual Saalry=USD22,720, Severage per year =USD3786).  2023 and 2025 includes 2 months severance pay as per Government of Vanuatu policy.  Rounded up to account for any exchange rate discrepancies</t>
  </si>
  <si>
    <t>Salary $1,500,000 vatu or US$13,628.  Salary rates adjusted as per contractual rates provided by VMGD and adjusted up as contingency due to exchange rates.  2023 includes 2 months end of salary as per Government severance policy = USD2.272</t>
  </si>
  <si>
    <t>Audience engagement activities - refer budget note, ongoing audience surveys in 2024 and 2025</t>
  </si>
  <si>
    <t>Discuss with Alvin about CIS Technical Advisor salary - to save Component 5 funds</t>
  </si>
  <si>
    <t>CIS Technical Advisor Salary - Discuss with Alvin about CIS Technical Advisor salary - to save Component 5 funds</t>
  </si>
  <si>
    <t>PMU is unable to determine the 2023 expenditures for BoM due to lack of financial report</t>
  </si>
  <si>
    <t>** Any unused BOM budget at the end of  2023 to reallocate to VMGD</t>
  </si>
  <si>
    <t>SPREP PMU paid for CSIRO case study visits</t>
  </si>
  <si>
    <t>Climate risk assessment framework for Sectors  Beca</t>
  </si>
  <si>
    <t xml:space="preserve">Salary $1,500,000 vatu or US$13,628.  Salary rates adjusted as per contractual rates provided by VMGD and adjusted up as contingency due to exchange rates.  2023 includes 2 months end of salary as per Government severance policy = USD2.272
</t>
  </si>
  <si>
    <t>**Reallocate USD11,363.46 to B21 to cover salary for 2025. Updated for implementation of CIS related activities under Fisheries Management Plans</t>
  </si>
  <si>
    <r>
      <rPr>
        <sz val="9"/>
        <color rgb="FFFF0000"/>
        <rFont val="Arial"/>
        <family val="2"/>
      </rPr>
      <t>**Increase to USD28,700 by topup from B22- USD11,363.46 for salary and severance payout = USD4,8089 as per VU Govt polocy.</t>
    </r>
    <r>
      <rPr>
        <sz val="9"/>
        <color theme="1"/>
        <rFont val="Arial"/>
        <family val="2"/>
      </rPr>
      <t xml:space="preserve"> </t>
    </r>
  </si>
  <si>
    <t>**reallocate USD54,400 from here to B30 to cover PWD Coordinator Salary for 2024-2025</t>
  </si>
  <si>
    <t>**Reallocate USD10000 to PWD Local Travel B35 and B36</t>
  </si>
  <si>
    <r>
      <rPr>
        <sz val="9"/>
        <color rgb="FFFF0000"/>
        <rFont val="Arial"/>
        <family val="2"/>
      </rPr>
      <t xml:space="preserve">** Reallocate USD10,000 to PWD Local Travel B35 and B36. </t>
    </r>
    <r>
      <rPr>
        <sz val="9"/>
        <color theme="1"/>
        <rFont val="Arial"/>
        <family val="2"/>
      </rPr>
      <t>Adjusted to accommodate salary</t>
    </r>
  </si>
  <si>
    <t>**Funds of USD10,000 from Agriculture Sector Budget (B18).</t>
  </si>
  <si>
    <t>**Funds of USD10,000 from Agriculture Sector Budget. As per approved budget but increased to include demonstrations, trainings and information awareness at the sites (B10)</t>
  </si>
  <si>
    <t>**Received USD54,400 reallocated from B60 (Tourism Sector)</t>
  </si>
  <si>
    <t>**ESS Consultant to update the ESMP to support the project extension request</t>
  </si>
  <si>
    <t>**Reallocate USD15,000 to D10</t>
  </si>
  <si>
    <t>**Extra funds to come from contingency??</t>
  </si>
  <si>
    <t>**Limited budget to continue this consultancy</t>
  </si>
  <si>
    <t xml:space="preserve">Variance </t>
  </si>
  <si>
    <t>Activate Contingency in all components.Re-alloacate savings to each componenet to componenet 5 to cover for shortfall.</t>
  </si>
  <si>
    <t>Component</t>
  </si>
  <si>
    <t>Comp 1</t>
  </si>
  <si>
    <t>Comp 2</t>
  </si>
  <si>
    <t>Comp 3</t>
  </si>
  <si>
    <t>Comp 4</t>
  </si>
  <si>
    <t>Comp 5</t>
  </si>
  <si>
    <t>Original FAA Budget</t>
  </si>
  <si>
    <t>Budget After 1st Extension</t>
  </si>
  <si>
    <t>Budget After 2nd Extension</t>
  </si>
  <si>
    <t>Explanation</t>
  </si>
  <si>
    <t>Co-Financing</t>
  </si>
  <si>
    <t>Expenditure 2018</t>
  </si>
  <si>
    <t>Original Budget</t>
  </si>
  <si>
    <t>Expenditure 2019</t>
  </si>
  <si>
    <t>Expenditure 2020</t>
  </si>
  <si>
    <t>Funds for international consultant to develop DSS documents for target sectors</t>
  </si>
  <si>
    <t>Funds to develop training modules for online training - Moodle</t>
  </si>
  <si>
    <t>Activate contingency to offset the overspent in C1</t>
  </si>
  <si>
    <t>Activate contingency to offset the overspent in C3</t>
  </si>
  <si>
    <t>Activate Contingency to offset overspent in C4</t>
  </si>
  <si>
    <t>Activate Contigency to offset overspent in the PMU Budget</t>
  </si>
  <si>
    <t xml:space="preserve">PMU Rate </t>
  </si>
  <si>
    <t>Expenditure 2021</t>
  </si>
  <si>
    <t>2023 Actuals Jan-Aug</t>
  </si>
  <si>
    <t>2023 Sep-Dec</t>
  </si>
  <si>
    <t xml:space="preserve">Contingency of 119,000 USD is being requested to make up for overspend under this component due to activity 4.2.1 training packages which incurred increased costs of delivery (particularly logistics including freight and transport to outer islands, which have increased since the project was designed as well as more recently with increased costs following demand for travel after COVID19). The contingency will also support dedicated capacity for the implementation of the project GEDSI plan, with dedicated gender capacity to improve mainstreaming and to train project personnel. Following the finalisation of the ESMP, it is important to have project systems strengthened and also to incorporate ESMP messaging and activities into the roll out of information through the climate centres. There is also a need to strengthen sector coordination - with more regular technical working group/steering committee meetings to support project goverannce. </t>
  </si>
  <si>
    <t xml:space="preserve">Contingency of 51,433.26 USD is being requested to cover an overspend in PMU salaries which due to previously approved no-cost extension adding time to project implementation, exceeded initial budgeted amounts. Under the PMU expenses, this included the addition of a Project Management Consultant firm to support project management under the PMUs. In addition to remaining surplus, contingency will also enable continuation of salaries for personnel under the PMUs over the two years of the extension from 2024 to 2025 as well as additional years of audit required for the project.  </t>
  </si>
  <si>
    <t xml:space="preserve">While there was no overspend in this project component to date, contingency amounting to 31,194.19 USD is being requested to support continuation of salaries for traditional knowledge officers and for the communications officer (locally recruited). There is also additional need for dedicated knowledge brokerage support in the extension period (2024 to 2025), especially in rolling out/delivery of information developed under the climate tools, which will utilise the centres for their delivery. It is anticipated that as the project draws to a close, there will be increased visibility and knowledge sharing to document and promote project outcomes/achievements. </t>
  </si>
  <si>
    <t xml:space="preserve">While no additional contingency is being requested, component savings are being reallocated to cover an initial overspend in budget allocation for component 2 which was due to several unanticipated costs - firstly, under the public works sector case study; the drone capability required, exceeded what was initially budgeted in order to acquire a drone large enough and with capability to fly the lidar. Additonally, for provincial engineering training, it was not possible to transport the drone's batteries on commercial flights due to aviation safety laws. Chartered flights were the only option available to complete this activity. Because the initial project budget was approved over six years ago, the cost of equipment procured under the sector scase studies has also increased at market value, even moreso post COVID-19 due to increased costs of supply chains etc. In the proposed extension period (2024 to 2025) and in addition to remaining surplus, contingency budget will enable the project to retain sector coordinators and to undertake ongoing and much needed outreach and awareness including uptake of tools and information delivery to sectoral/provincial level. An example will follow the launch of the resilient road manual/guide, which will now require new Standard Operation Procedures to ensure the guide is being used at the provincial level to ensure more resilient infrastructure. </t>
  </si>
  <si>
    <t xml:space="preserve">Contingency amounting to 221,158 USD is being requested to cover the component overspend to date, which was due to Agromet predictions under activities 1 to 6 undertaken by APCC. While the initial budget only focused on 2 crops (which are now on the OSCAR system), the Department of Agriculture had requested support for 8 crops which collectively would be more efficient and of greater relevance to Vanuatu's Agriculture sector. The addition of 6 crops to the Agromet profile required additional funding. Over the years 2024 to 2025 under the requested extension period, in addition to remaining surplus under this component, the contingency will support the continued roll out of this work with additional resourcing of three climatologists who will digitise and quality assure data from project stations (new data will be captured between January and December over the two year extension period). This will also cover upkeep/operational costs for all of automatic weather stations in order to meet WMO requirements (every three months there is calibration and maintenance that is required) over the extension of two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</si>
</sst>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_-* #,##0_-;\-* #,##0_-;_-* &quot;-&quot;??_-;_-@_-"/>
    <numFmt numFmtId="167" formatCode="_-* #,##0.0_-;\-* #,##0.0_-;_-* &quot;-&quot;??_-;_-@_-"/>
  </numFmts>
  <fonts count="37" x14ac:knownFonts="1">
    <font>
      <sz val="11"/>
      <color theme="1"/>
      <name val="Calibri"/>
      <family val="2"/>
      <scheme val="minor"/>
    </font>
    <font>
      <sz val="11"/>
      <color theme="1"/>
      <name val="Calibri"/>
      <family val="2"/>
      <scheme val="minor"/>
    </font>
    <font>
      <b/>
      <sz val="9"/>
      <color rgb="FF24634F"/>
      <name val="Arial"/>
      <family val="2"/>
    </font>
    <font>
      <sz val="8"/>
      <color theme="1"/>
      <name val="Arial"/>
      <family val="2"/>
    </font>
    <font>
      <sz val="9"/>
      <color theme="1"/>
      <name val="Arial"/>
      <family val="2"/>
    </font>
    <font>
      <b/>
      <sz val="10"/>
      <color rgb="FF24634F"/>
      <name val="Arial"/>
      <family val="2"/>
    </font>
    <font>
      <sz val="9"/>
      <color theme="1"/>
      <name val="Cambria"/>
      <family val="1"/>
    </font>
    <font>
      <b/>
      <sz val="9"/>
      <color theme="0"/>
      <name val="Arial"/>
      <family val="2"/>
    </font>
    <font>
      <b/>
      <sz val="8"/>
      <color theme="0"/>
      <name val="Arial"/>
      <family val="2"/>
    </font>
    <font>
      <b/>
      <sz val="10"/>
      <color theme="0"/>
      <name val="Arial"/>
      <family val="2"/>
    </font>
    <font>
      <sz val="10"/>
      <color theme="1"/>
      <name val="Calibri"/>
      <family val="2"/>
      <scheme val="minor"/>
    </font>
    <font>
      <b/>
      <sz val="8"/>
      <color rgb="FF24634F"/>
      <name val="Arial"/>
      <family val="2"/>
    </font>
    <font>
      <sz val="8"/>
      <name val="Arial"/>
      <family val="2"/>
    </font>
    <font>
      <sz val="9"/>
      <name val="Arial"/>
      <family val="2"/>
    </font>
    <font>
      <sz val="8"/>
      <color rgb="FF000000"/>
      <name val="Arial"/>
      <family val="2"/>
    </font>
    <font>
      <b/>
      <i/>
      <sz val="8"/>
      <name val="Arial"/>
      <family val="2"/>
    </font>
    <font>
      <b/>
      <i/>
      <sz val="8"/>
      <color rgb="FF000000"/>
      <name val="Arial"/>
      <family val="2"/>
    </font>
    <font>
      <b/>
      <i/>
      <sz val="11"/>
      <color theme="1"/>
      <name val="Calibri"/>
      <family val="2"/>
      <scheme val="minor"/>
    </font>
    <font>
      <sz val="9"/>
      <color rgb="FFFF0000"/>
      <name val="Arial"/>
      <family val="2"/>
    </font>
    <font>
      <b/>
      <i/>
      <sz val="8"/>
      <color theme="1"/>
      <name val="Arial"/>
      <family val="2"/>
    </font>
    <font>
      <b/>
      <sz val="8"/>
      <name val="Arial"/>
      <family val="2"/>
    </font>
    <font>
      <b/>
      <sz val="8"/>
      <color theme="1"/>
      <name val="Arial"/>
      <family val="2"/>
    </font>
    <font>
      <b/>
      <sz val="10"/>
      <name val="Arial"/>
      <family val="2"/>
    </font>
    <font>
      <sz val="10"/>
      <name val="Arial"/>
      <family val="2"/>
    </font>
    <font>
      <b/>
      <sz val="9"/>
      <name val="Arial"/>
      <family val="2"/>
    </font>
    <font>
      <sz val="9"/>
      <color rgb="FF000000"/>
      <name val="Arial"/>
      <family val="2"/>
    </font>
    <font>
      <sz val="11"/>
      <color theme="1"/>
      <name val="Arial"/>
      <family val="2"/>
    </font>
    <font>
      <b/>
      <sz val="11"/>
      <color theme="1"/>
      <name val="Arial"/>
      <family val="2"/>
    </font>
    <font>
      <b/>
      <i/>
      <sz val="11"/>
      <color theme="1"/>
      <name val="Arial"/>
      <family val="2"/>
    </font>
    <font>
      <sz val="9"/>
      <color theme="1"/>
      <name val="Calibri"/>
      <family val="2"/>
      <scheme val="minor"/>
    </font>
    <font>
      <sz val="8"/>
      <color theme="5"/>
      <name val="Arial"/>
      <family val="2"/>
    </font>
    <font>
      <sz val="8"/>
      <color rgb="FF000000"/>
      <name val="Cambria"/>
      <family val="1"/>
    </font>
    <font>
      <sz val="11"/>
      <color rgb="FFFF0000"/>
      <name val="Calibri"/>
      <family val="2"/>
      <scheme val="minor"/>
    </font>
    <font>
      <b/>
      <sz val="11"/>
      <color theme="1"/>
      <name val="Calibri"/>
      <family val="2"/>
      <scheme val="minor"/>
    </font>
    <font>
      <sz val="8"/>
      <color rgb="FFFF0000"/>
      <name val="Arial"/>
      <family val="2"/>
    </font>
    <font>
      <sz val="8"/>
      <name val="Calibri"/>
      <family val="2"/>
      <scheme val="minor"/>
    </font>
    <font>
      <i/>
      <sz val="11"/>
      <color theme="1"/>
      <name val="Calibri"/>
      <family val="2"/>
      <scheme val="minor"/>
    </font>
  </fonts>
  <fills count="12">
    <fill>
      <patternFill patternType="none"/>
    </fill>
    <fill>
      <patternFill patternType="gray125"/>
    </fill>
    <fill>
      <patternFill patternType="solid">
        <fgColor rgb="FF376B54"/>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BCD85F"/>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3" fontId="23" fillId="0" borderId="0" applyFont="0" applyFill="0" applyBorder="0" applyAlignment="0" applyProtection="0"/>
    <xf numFmtId="9" fontId="1" fillId="0" borderId="0" applyFont="0" applyFill="0" applyBorder="0" applyAlignment="0" applyProtection="0"/>
  </cellStyleXfs>
  <cellXfs count="305">
    <xf numFmtId="0" fontId="0" fillId="0" borderId="0" xfId="0"/>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3" fillId="0" borderId="0" xfId="0" applyFont="1" applyAlignment="1" applyProtection="1">
      <alignment horizontal="center" vertical="center"/>
      <protection locked="0"/>
    </xf>
    <xf numFmtId="0" fontId="0" fillId="0" borderId="0" xfId="0" applyAlignment="1" applyProtection="1">
      <alignment horizontal="left" vertical="center"/>
      <protection locked="0"/>
    </xf>
    <xf numFmtId="0" fontId="4" fillId="0" borderId="0" xfId="0" applyFont="1" applyAlignment="1" applyProtection="1">
      <alignment vertical="center"/>
      <protection locked="0"/>
    </xf>
    <xf numFmtId="0" fontId="0" fillId="0" borderId="0" xfId="0" applyAlignment="1">
      <alignment vertical="center"/>
    </xf>
    <xf numFmtId="0" fontId="6" fillId="0" borderId="0" xfId="0" applyFont="1" applyProtection="1">
      <protection locked="0"/>
    </xf>
    <xf numFmtId="0" fontId="0" fillId="0" borderId="0" xfId="0" applyProtection="1">
      <protection locked="0"/>
    </xf>
    <xf numFmtId="0" fontId="0" fillId="0" borderId="0" xfId="0" applyAlignment="1" applyProtection="1">
      <alignment horizontal="center"/>
      <protection locked="0"/>
    </xf>
    <xf numFmtId="0" fontId="3" fillId="0" borderId="0" xfId="0" applyFont="1" applyAlignment="1" applyProtection="1">
      <alignment horizontal="center"/>
      <protection locked="0"/>
    </xf>
    <xf numFmtId="0" fontId="0" fillId="0" borderId="0" xfId="0" applyAlignment="1" applyProtection="1">
      <alignment horizontal="left"/>
      <protection locked="0"/>
    </xf>
    <xf numFmtId="0" fontId="4" fillId="0" borderId="0" xfId="0" applyFont="1" applyProtection="1">
      <protection locked="0"/>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7" fillId="2"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0" xfId="0" applyFont="1" applyFill="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7" fillId="2" borderId="3" xfId="0" applyFont="1" applyFill="1" applyBorder="1" applyAlignment="1">
      <alignment vertical="center" wrapText="1"/>
    </xf>
    <xf numFmtId="0" fontId="7" fillId="2" borderId="0" xfId="0" applyFont="1" applyFill="1" applyAlignment="1">
      <alignment vertical="center" wrapText="1"/>
    </xf>
    <xf numFmtId="0" fontId="7" fillId="2" borderId="0" xfId="0" applyFont="1" applyFill="1" applyAlignment="1">
      <alignment horizontal="left" vertical="center" wrapText="1"/>
    </xf>
    <xf numFmtId="0" fontId="11" fillId="0" borderId="5" xfId="0" applyFont="1" applyBorder="1" applyAlignment="1" applyProtection="1">
      <alignment horizontal="center" vertical="center" textRotation="90" wrapText="1"/>
      <protection locked="0"/>
    </xf>
    <xf numFmtId="0" fontId="12" fillId="0" borderId="5" xfId="0" applyFont="1" applyBorder="1" applyAlignment="1" applyProtection="1">
      <alignment horizontal="center" vertical="center" wrapText="1"/>
      <protection locked="0"/>
    </xf>
    <xf numFmtId="0" fontId="12" fillId="0" borderId="5"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protection locked="0"/>
    </xf>
    <xf numFmtId="43" fontId="12" fillId="0" borderId="5" xfId="1" applyFont="1" applyFill="1" applyBorder="1" applyAlignment="1" applyProtection="1">
      <alignment horizontal="center" vertical="center"/>
      <protection locked="0"/>
    </xf>
    <xf numFmtId="43" fontId="12" fillId="0" borderId="6" xfId="1" applyFont="1" applyFill="1" applyBorder="1" applyAlignment="1" applyProtection="1">
      <alignment horizontal="center" vertical="center"/>
      <protection locked="0"/>
    </xf>
    <xf numFmtId="43" fontId="13" fillId="0" borderId="6" xfId="1" applyFont="1" applyFill="1" applyBorder="1" applyAlignment="1" applyProtection="1">
      <alignment horizontal="right" vertical="center"/>
      <protection locked="0"/>
    </xf>
    <xf numFmtId="43" fontId="13" fillId="3" borderId="6" xfId="1" applyFont="1" applyFill="1" applyBorder="1" applyAlignment="1" applyProtection="1">
      <alignment vertical="center"/>
    </xf>
    <xf numFmtId="43" fontId="13" fillId="4" borderId="6" xfId="1" applyFont="1" applyFill="1" applyBorder="1" applyAlignment="1" applyProtection="1">
      <alignment vertical="center"/>
    </xf>
    <xf numFmtId="43" fontId="13" fillId="5" borderId="6" xfId="1" applyFont="1" applyFill="1" applyBorder="1" applyAlignment="1" applyProtection="1">
      <alignment vertical="center"/>
    </xf>
    <xf numFmtId="164" fontId="14" fillId="0" borderId="5" xfId="0" applyNumberFormat="1" applyFont="1" applyBorder="1" applyAlignment="1" applyProtection="1">
      <alignment horizontal="center" vertical="center"/>
      <protection locked="0"/>
    </xf>
    <xf numFmtId="43" fontId="12" fillId="0" borderId="5" xfId="1" applyFont="1" applyFill="1" applyBorder="1" applyAlignment="1" applyProtection="1">
      <alignment vertical="center"/>
      <protection locked="0"/>
    </xf>
    <xf numFmtId="43" fontId="13" fillId="0" borderId="5" xfId="1" applyFont="1" applyFill="1" applyBorder="1" applyAlignment="1" applyProtection="1">
      <alignment horizontal="right" vertical="center"/>
      <protection locked="0"/>
    </xf>
    <xf numFmtId="0" fontId="0" fillId="0" borderId="7" xfId="0" applyBorder="1" applyAlignment="1">
      <alignment vertical="center"/>
    </xf>
    <xf numFmtId="0" fontId="0" fillId="0" borderId="6" xfId="0" applyBorder="1" applyAlignment="1">
      <alignment vertical="center"/>
    </xf>
    <xf numFmtId="0" fontId="15" fillId="5" borderId="5" xfId="0" applyFont="1" applyFill="1" applyBorder="1" applyAlignment="1" applyProtection="1">
      <alignment horizontal="center" vertical="center" wrapText="1"/>
      <protection locked="0"/>
    </xf>
    <xf numFmtId="0" fontId="15" fillId="5" borderId="5" xfId="0" applyFont="1" applyFill="1" applyBorder="1" applyAlignment="1" applyProtection="1">
      <alignment horizontal="left" vertical="center" wrapText="1"/>
      <protection locked="0"/>
    </xf>
    <xf numFmtId="0" fontId="15" fillId="5" borderId="5" xfId="0" applyFont="1" applyFill="1" applyBorder="1" applyAlignment="1" applyProtection="1">
      <alignment horizontal="center" vertical="center"/>
      <protection locked="0"/>
    </xf>
    <xf numFmtId="43" fontId="15" fillId="5" borderId="5" xfId="1" applyFont="1" applyFill="1" applyBorder="1" applyAlignment="1" applyProtection="1">
      <alignment vertical="center"/>
      <protection locked="0"/>
    </xf>
    <xf numFmtId="164" fontId="16" fillId="5" borderId="5" xfId="0" applyNumberFormat="1" applyFont="1" applyFill="1" applyBorder="1" applyAlignment="1" applyProtection="1">
      <alignment horizontal="center" vertical="center"/>
      <protection locked="0"/>
    </xf>
    <xf numFmtId="0" fontId="17" fillId="0" borderId="0" xfId="0" applyFont="1"/>
    <xf numFmtId="43" fontId="12" fillId="0" borderId="5" xfId="1" applyFont="1" applyFill="1" applyBorder="1" applyAlignment="1" applyProtection="1">
      <alignment horizontal="right" vertical="center"/>
      <protection locked="0"/>
    </xf>
    <xf numFmtId="4" fontId="13" fillId="0" borderId="5" xfId="1" applyNumberFormat="1" applyFont="1" applyFill="1" applyBorder="1" applyAlignment="1" applyProtection="1">
      <alignment horizontal="right" vertical="center"/>
      <protection locked="0"/>
    </xf>
    <xf numFmtId="4" fontId="13" fillId="0" borderId="6" xfId="1" applyNumberFormat="1" applyFont="1" applyFill="1" applyBorder="1" applyAlignment="1" applyProtection="1">
      <alignment horizontal="right" vertical="center"/>
      <protection locked="0"/>
    </xf>
    <xf numFmtId="4" fontId="18" fillId="0" borderId="6" xfId="1" applyNumberFormat="1" applyFont="1" applyFill="1" applyBorder="1" applyAlignment="1" applyProtection="1">
      <alignment horizontal="right" vertical="center"/>
      <protection locked="0"/>
    </xf>
    <xf numFmtId="164" fontId="14" fillId="5" borderId="5" xfId="0" applyNumberFormat="1" applyFont="1" applyFill="1" applyBorder="1" applyAlignment="1" applyProtection="1">
      <alignment horizontal="center" vertical="center"/>
      <protection locked="0"/>
    </xf>
    <xf numFmtId="0" fontId="3" fillId="0" borderId="5"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protection locked="0"/>
    </xf>
    <xf numFmtId="43" fontId="3" fillId="0" borderId="5" xfId="1" applyFont="1" applyFill="1" applyBorder="1" applyAlignment="1" applyProtection="1">
      <alignment vertical="center"/>
      <protection locked="0"/>
    </xf>
    <xf numFmtId="0" fontId="19" fillId="5" borderId="5" xfId="0" applyFont="1" applyFill="1" applyBorder="1" applyAlignment="1" applyProtection="1">
      <alignment horizontal="center" vertical="center" wrapText="1"/>
      <protection locked="0"/>
    </xf>
    <xf numFmtId="43" fontId="15" fillId="5" borderId="5" xfId="1" applyFont="1" applyFill="1" applyBorder="1" applyAlignment="1" applyProtection="1">
      <alignment horizontal="right" vertical="center"/>
      <protection locked="0"/>
    </xf>
    <xf numFmtId="0" fontId="3" fillId="0" borderId="5" xfId="0" applyFont="1" applyBorder="1" applyAlignment="1" applyProtection="1">
      <alignment horizontal="left" vertical="center" wrapText="1"/>
      <protection locked="0"/>
    </xf>
    <xf numFmtId="43" fontId="13" fillId="4" borderId="5" xfId="1" applyFont="1" applyFill="1" applyBorder="1" applyAlignment="1" applyProtection="1">
      <alignment vertical="center"/>
    </xf>
    <xf numFmtId="0" fontId="19" fillId="5" borderId="5" xfId="0" applyFont="1" applyFill="1" applyBorder="1" applyAlignment="1" applyProtection="1">
      <alignment horizontal="left" vertical="center" wrapText="1"/>
      <protection locked="0"/>
    </xf>
    <xf numFmtId="164" fontId="4" fillId="0" borderId="5" xfId="0" applyNumberFormat="1" applyFont="1" applyBorder="1"/>
    <xf numFmtId="164" fontId="4" fillId="0" borderId="6" xfId="0" applyNumberFormat="1" applyFont="1" applyBorder="1"/>
    <xf numFmtId="43" fontId="4" fillId="4" borderId="5" xfId="0" applyNumberFormat="1" applyFont="1" applyFill="1" applyBorder="1"/>
    <xf numFmtId="43" fontId="4" fillId="0" borderId="5" xfId="1" applyFont="1" applyFill="1" applyBorder="1"/>
    <xf numFmtId="43" fontId="4" fillId="0" borderId="6" xfId="1" applyFont="1" applyFill="1" applyBorder="1"/>
    <xf numFmtId="0" fontId="0" fillId="0" borderId="5" xfId="0" applyBorder="1"/>
    <xf numFmtId="43" fontId="12" fillId="0" borderId="5" xfId="1" quotePrefix="1" applyFont="1" applyFill="1" applyBorder="1" applyAlignment="1" applyProtection="1">
      <alignment horizontal="center" vertical="center"/>
      <protection locked="0"/>
    </xf>
    <xf numFmtId="165" fontId="12" fillId="0" borderId="5" xfId="1" quotePrefix="1" applyNumberFormat="1" applyFont="1" applyFill="1" applyBorder="1" applyAlignment="1" applyProtection="1">
      <alignment horizontal="center" vertical="center"/>
      <protection locked="0"/>
    </xf>
    <xf numFmtId="0" fontId="11" fillId="0" borderId="5" xfId="0" applyFont="1" applyBorder="1" applyAlignment="1" applyProtection="1">
      <alignment horizontal="center" vertical="center" wrapText="1"/>
      <protection locked="0"/>
    </xf>
    <xf numFmtId="43" fontId="13" fillId="0" borderId="6" xfId="1" applyFont="1" applyFill="1" applyBorder="1" applyAlignment="1" applyProtection="1">
      <alignment vertical="center"/>
    </xf>
    <xf numFmtId="43" fontId="20" fillId="6" borderId="5" xfId="1" applyFont="1" applyFill="1" applyBorder="1" applyAlignment="1">
      <alignment horizontal="center" vertical="center" wrapText="1"/>
    </xf>
    <xf numFmtId="164" fontId="20" fillId="6" borderId="5" xfId="0" applyNumberFormat="1" applyFont="1" applyFill="1" applyBorder="1" applyAlignment="1">
      <alignment vertical="center" wrapText="1"/>
    </xf>
    <xf numFmtId="0" fontId="12" fillId="0" borderId="5" xfId="0" applyFont="1" applyBorder="1" applyAlignment="1">
      <alignment horizontal="center" vertical="center" wrapText="1"/>
    </xf>
    <xf numFmtId="0" fontId="12" fillId="0" borderId="5" xfId="0" applyFont="1" applyBorder="1" applyAlignment="1">
      <alignment horizontal="left" vertical="center" wrapText="1"/>
    </xf>
    <xf numFmtId="0" fontId="3" fillId="0" borderId="5" xfId="0" applyFont="1" applyBorder="1" applyAlignment="1">
      <alignment horizontal="center"/>
    </xf>
    <xf numFmtId="0" fontId="15" fillId="5" borderId="5" xfId="0" applyFont="1" applyFill="1" applyBorder="1" applyAlignment="1">
      <alignment horizontal="center" vertical="center" wrapText="1"/>
    </xf>
    <xf numFmtId="0" fontId="15" fillId="5" borderId="5" xfId="0" applyFont="1" applyFill="1" applyBorder="1" applyAlignment="1">
      <alignment horizontal="left" vertical="center" wrapText="1"/>
    </xf>
    <xf numFmtId="43" fontId="13" fillId="0" borderId="5" xfId="1" quotePrefix="1" applyFont="1" applyFill="1" applyBorder="1" applyAlignment="1" applyProtection="1">
      <alignment horizontal="right" vertical="center"/>
      <protection locked="0"/>
    </xf>
    <xf numFmtId="43" fontId="4" fillId="4" borderId="5" xfId="1" applyFont="1" applyFill="1" applyBorder="1"/>
    <xf numFmtId="0" fontId="3" fillId="0" borderId="5" xfId="0" applyFont="1" applyBorder="1" applyAlignment="1" applyProtection="1">
      <alignment horizontal="center" wrapText="1"/>
      <protection locked="0"/>
    </xf>
    <xf numFmtId="164" fontId="12" fillId="0" borderId="5" xfId="0" quotePrefix="1" applyNumberFormat="1" applyFont="1" applyBorder="1" applyAlignment="1" applyProtection="1">
      <alignment horizontal="center" vertical="center"/>
      <protection locked="0"/>
    </xf>
    <xf numFmtId="0" fontId="19" fillId="5" borderId="5" xfId="0" applyFont="1" applyFill="1" applyBorder="1" applyAlignment="1" applyProtection="1">
      <alignment horizontal="center" wrapText="1"/>
      <protection locked="0"/>
    </xf>
    <xf numFmtId="0" fontId="15" fillId="5" borderId="5" xfId="0" applyFont="1" applyFill="1" applyBorder="1" applyAlignment="1" applyProtection="1">
      <alignment horizontal="center" vertical="top" wrapText="1"/>
      <protection locked="0"/>
    </xf>
    <xf numFmtId="0" fontId="4" fillId="0" borderId="5" xfId="0" applyFont="1" applyBorder="1"/>
    <xf numFmtId="43" fontId="4" fillId="0" borderId="5" xfId="1" applyFont="1" applyFill="1" applyBorder="1" applyAlignment="1">
      <alignment vertical="center"/>
    </xf>
    <xf numFmtId="43" fontId="4" fillId="0" borderId="6" xfId="1" applyFont="1" applyFill="1" applyBorder="1" applyAlignment="1">
      <alignment vertical="center"/>
    </xf>
    <xf numFmtId="0" fontId="0" fillId="0" borderId="4" xfId="0" applyBorder="1"/>
    <xf numFmtId="43" fontId="12" fillId="0" borderId="5" xfId="1" applyFont="1" applyFill="1" applyBorder="1" applyAlignment="1">
      <alignment horizontal="center" vertical="center" wrapText="1"/>
    </xf>
    <xf numFmtId="43" fontId="12" fillId="0" borderId="8" xfId="1" applyFont="1" applyBorder="1" applyAlignment="1">
      <alignment horizontal="center" vertical="center" wrapText="1"/>
    </xf>
    <xf numFmtId="43" fontId="12" fillId="0" borderId="5" xfId="1" applyFont="1" applyBorder="1" applyAlignment="1">
      <alignment horizontal="center" vertical="center" wrapText="1"/>
    </xf>
    <xf numFmtId="164" fontId="12" fillId="0" borderId="5" xfId="0" applyNumberFormat="1" applyFont="1" applyBorder="1" applyAlignment="1">
      <alignment horizontal="center" vertical="center"/>
    </xf>
    <xf numFmtId="164" fontId="20" fillId="6" borderId="5" xfId="0" applyNumberFormat="1" applyFont="1" applyFill="1" applyBorder="1" applyAlignment="1">
      <alignment horizontal="center" vertical="center" wrapText="1"/>
    </xf>
    <xf numFmtId="0" fontId="3" fillId="0" borderId="0" xfId="0" applyFont="1"/>
    <xf numFmtId="43" fontId="3" fillId="0" borderId="0" xfId="1" applyFont="1" applyAlignment="1">
      <alignment horizontal="center"/>
    </xf>
    <xf numFmtId="0" fontId="3" fillId="0" borderId="0" xfId="0" applyFont="1" applyAlignment="1">
      <alignment horizontal="left"/>
    </xf>
    <xf numFmtId="0" fontId="21" fillId="0" borderId="0" xfId="0" applyFont="1" applyAlignment="1">
      <alignment horizontal="center"/>
    </xf>
    <xf numFmtId="0" fontId="4" fillId="0" borderId="0" xfId="0" applyFont="1"/>
    <xf numFmtId="0" fontId="3" fillId="0" borderId="0" xfId="0" applyFont="1" applyAlignment="1">
      <alignment horizontal="center" vertical="center"/>
    </xf>
    <xf numFmtId="0" fontId="21" fillId="0" borderId="0" xfId="0" applyFont="1" applyAlignment="1">
      <alignment horizontal="left" vertical="center"/>
    </xf>
    <xf numFmtId="43" fontId="3" fillId="0" borderId="0" xfId="1" applyFont="1" applyAlignment="1">
      <alignment horizontal="center" vertical="center"/>
    </xf>
    <xf numFmtId="43" fontId="3" fillId="0" borderId="0" xfId="0" applyNumberFormat="1" applyFont="1" applyAlignment="1">
      <alignment horizontal="center" vertical="center"/>
    </xf>
    <xf numFmtId="43" fontId="4" fillId="0" borderId="0" xfId="0" applyNumberFormat="1" applyFont="1"/>
    <xf numFmtId="0" fontId="3" fillId="0" borderId="0" xfId="0" applyFont="1" applyAlignment="1">
      <alignment horizontal="left" vertical="top"/>
    </xf>
    <xf numFmtId="164" fontId="4" fillId="0" borderId="0" xfId="0" applyNumberFormat="1" applyFo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4" fillId="0" borderId="0" xfId="0" applyFont="1" applyAlignment="1" applyProtection="1">
      <alignment horizontal="center" vertical="top" wrapText="1"/>
      <protection locked="0"/>
    </xf>
    <xf numFmtId="0" fontId="0" fillId="4" borderId="2" xfId="0" applyFill="1" applyBorder="1" applyAlignment="1">
      <alignment horizontal="center" vertical="center" wrapText="1"/>
    </xf>
    <xf numFmtId="0" fontId="0" fillId="4" borderId="0" xfId="0" applyFill="1" applyAlignment="1">
      <alignment horizontal="center" vertical="center" wrapText="1"/>
    </xf>
    <xf numFmtId="0" fontId="22" fillId="4" borderId="5" xfId="0" applyFont="1" applyFill="1" applyBorder="1" applyAlignment="1">
      <alignment horizontal="center" vertical="center" wrapText="1"/>
    </xf>
    <xf numFmtId="43" fontId="12" fillId="5" borderId="5" xfId="1" applyFont="1" applyFill="1" applyBorder="1" applyAlignment="1" applyProtection="1">
      <alignment horizontal="center" vertical="center"/>
      <protection locked="0"/>
    </xf>
    <xf numFmtId="43" fontId="13" fillId="4" borderId="6" xfId="1" applyFont="1" applyFill="1" applyBorder="1" applyAlignment="1" applyProtection="1">
      <alignment horizontal="right" vertical="center"/>
      <protection locked="0"/>
    </xf>
    <xf numFmtId="164" fontId="25" fillId="4" borderId="6" xfId="0" applyNumberFormat="1" applyFont="1" applyFill="1" applyBorder="1" applyAlignment="1" applyProtection="1">
      <alignment horizontal="left" vertical="top" wrapText="1"/>
      <protection locked="0"/>
    </xf>
    <xf numFmtId="43" fontId="12" fillId="5" borderId="5" xfId="1" applyFont="1" applyFill="1" applyBorder="1" applyAlignment="1" applyProtection="1">
      <alignment vertical="center"/>
      <protection locked="0"/>
    </xf>
    <xf numFmtId="43" fontId="13" fillId="4" borderId="5" xfId="1" applyFont="1" applyFill="1" applyBorder="1" applyAlignment="1" applyProtection="1">
      <alignment horizontal="right" vertical="center"/>
      <protection locked="0"/>
    </xf>
    <xf numFmtId="164" fontId="25" fillId="4" borderId="5" xfId="0" applyNumberFormat="1" applyFont="1" applyFill="1" applyBorder="1" applyAlignment="1" applyProtection="1">
      <alignment horizontal="left" vertical="top" wrapText="1"/>
      <protection locked="0"/>
    </xf>
    <xf numFmtId="164" fontId="25" fillId="5" borderId="5" xfId="0" applyNumberFormat="1" applyFont="1" applyFill="1" applyBorder="1" applyAlignment="1" applyProtection="1">
      <alignment horizontal="center" vertical="top" wrapText="1"/>
      <protection locked="0"/>
    </xf>
    <xf numFmtId="43" fontId="12" fillId="5" borderId="5" xfId="1" applyFont="1" applyFill="1" applyBorder="1" applyAlignment="1" applyProtection="1">
      <alignment horizontal="right" vertical="center"/>
      <protection locked="0"/>
    </xf>
    <xf numFmtId="4" fontId="13" fillId="4" borderId="5" xfId="1" applyNumberFormat="1" applyFont="1" applyFill="1" applyBorder="1" applyAlignment="1" applyProtection="1">
      <alignment horizontal="right" vertical="center"/>
      <protection locked="0"/>
    </xf>
    <xf numFmtId="164" fontId="25" fillId="4" borderId="8" xfId="0" applyNumberFormat="1" applyFont="1" applyFill="1" applyBorder="1" applyAlignment="1" applyProtection="1">
      <alignment horizontal="left" vertical="top" wrapText="1"/>
      <protection locked="0"/>
    </xf>
    <xf numFmtId="164" fontId="25" fillId="4" borderId="5" xfId="0" applyNumberFormat="1" applyFont="1" applyFill="1" applyBorder="1" applyAlignment="1" applyProtection="1">
      <alignment horizontal="center" vertical="top" wrapText="1"/>
      <protection locked="0"/>
    </xf>
    <xf numFmtId="164" fontId="18" fillId="5" borderId="5" xfId="0" applyNumberFormat="1" applyFont="1" applyFill="1" applyBorder="1" applyAlignment="1" applyProtection="1">
      <alignment horizontal="left" vertical="top" wrapText="1"/>
      <protection locked="0"/>
    </xf>
    <xf numFmtId="43" fontId="3" fillId="5" borderId="5" xfId="1" applyFont="1" applyFill="1" applyBorder="1" applyAlignment="1" applyProtection="1">
      <alignment vertical="center"/>
      <protection locked="0"/>
    </xf>
    <xf numFmtId="0" fontId="4" fillId="4" borderId="5" xfId="0" applyFont="1" applyFill="1" applyBorder="1" applyAlignment="1">
      <alignment horizontal="left" vertical="top" wrapText="1"/>
    </xf>
    <xf numFmtId="0" fontId="18" fillId="5" borderId="5" xfId="0" applyFont="1" applyFill="1" applyBorder="1" applyAlignment="1">
      <alignment vertical="top" wrapText="1"/>
    </xf>
    <xf numFmtId="164" fontId="4" fillId="4" borderId="5" xfId="0" applyNumberFormat="1" applyFont="1" applyFill="1" applyBorder="1"/>
    <xf numFmtId="0" fontId="4" fillId="4" borderId="5" xfId="0" applyFont="1" applyFill="1" applyBorder="1" applyAlignment="1">
      <alignment vertical="top" wrapText="1"/>
    </xf>
    <xf numFmtId="0" fontId="4" fillId="5" borderId="5" xfId="0" applyFont="1" applyFill="1" applyBorder="1" applyAlignment="1">
      <alignment vertical="top" wrapText="1"/>
    </xf>
    <xf numFmtId="0" fontId="12" fillId="7" borderId="5" xfId="0" applyFont="1" applyFill="1" applyBorder="1" applyAlignment="1" applyProtection="1">
      <alignment horizontal="center" vertical="center" wrapText="1"/>
      <protection locked="0"/>
    </xf>
    <xf numFmtId="0" fontId="3" fillId="7" borderId="5" xfId="0" applyFont="1" applyFill="1" applyBorder="1" applyAlignment="1" applyProtection="1">
      <alignment horizontal="center" vertical="center" wrapText="1"/>
      <protection locked="0"/>
    </xf>
    <xf numFmtId="0" fontId="3" fillId="7" borderId="5" xfId="0" applyFont="1" applyFill="1" applyBorder="1" applyAlignment="1" applyProtection="1">
      <alignment horizontal="left" vertical="center" wrapText="1"/>
      <protection locked="0"/>
    </xf>
    <xf numFmtId="0" fontId="12" fillId="7" borderId="5" xfId="0" applyFont="1" applyFill="1" applyBorder="1" applyAlignment="1" applyProtection="1">
      <alignment horizontal="center" vertical="center"/>
      <protection locked="0"/>
    </xf>
    <xf numFmtId="43" fontId="12" fillId="7" borderId="5" xfId="1" applyFont="1" applyFill="1" applyBorder="1" applyAlignment="1" applyProtection="1">
      <alignment vertical="center"/>
      <protection locked="0"/>
    </xf>
    <xf numFmtId="43" fontId="4" fillId="7" borderId="5" xfId="1" applyFont="1" applyFill="1" applyBorder="1"/>
    <xf numFmtId="43" fontId="4" fillId="7" borderId="5" xfId="0" applyNumberFormat="1" applyFont="1" applyFill="1" applyBorder="1"/>
    <xf numFmtId="164" fontId="14" fillId="7" borderId="5" xfId="0" applyNumberFormat="1" applyFont="1" applyFill="1" applyBorder="1" applyAlignment="1" applyProtection="1">
      <alignment horizontal="center" vertical="center"/>
      <protection locked="0"/>
    </xf>
    <xf numFmtId="0" fontId="4" fillId="7" borderId="5" xfId="0" applyFont="1" applyFill="1" applyBorder="1" applyAlignment="1">
      <alignment vertical="top" wrapText="1"/>
    </xf>
    <xf numFmtId="43" fontId="12" fillId="7" borderId="5" xfId="1" applyFont="1" applyFill="1" applyBorder="1" applyAlignment="1" applyProtection="1">
      <alignment horizontal="right" vertical="center"/>
      <protection locked="0"/>
    </xf>
    <xf numFmtId="164" fontId="4" fillId="7" borderId="5" xfId="0" applyNumberFormat="1" applyFont="1" applyFill="1" applyBorder="1"/>
    <xf numFmtId="164" fontId="24" fillId="6" borderId="5" xfId="0" applyNumberFormat="1" applyFont="1" applyFill="1" applyBorder="1" applyAlignment="1">
      <alignment vertical="top" wrapText="1"/>
    </xf>
    <xf numFmtId="0" fontId="13" fillId="5" borderId="5" xfId="0" applyFont="1" applyFill="1" applyBorder="1" applyAlignment="1">
      <alignment vertical="top" wrapText="1"/>
    </xf>
    <xf numFmtId="43" fontId="13" fillId="4" borderId="5" xfId="1" quotePrefix="1" applyFont="1" applyFill="1" applyBorder="1" applyAlignment="1" applyProtection="1">
      <alignment horizontal="right" vertical="center"/>
      <protection locked="0"/>
    </xf>
    <xf numFmtId="0" fontId="25" fillId="4" borderId="5" xfId="0" applyFont="1" applyFill="1" applyBorder="1" applyAlignment="1" applyProtection="1">
      <alignment horizontal="left" vertical="top" wrapText="1"/>
      <protection locked="0"/>
    </xf>
    <xf numFmtId="0" fontId="12" fillId="7" borderId="5" xfId="0" applyFont="1" applyFill="1" applyBorder="1" applyAlignment="1">
      <alignment horizontal="center" vertical="center" wrapText="1"/>
    </xf>
    <xf numFmtId="0" fontId="12" fillId="7" borderId="5" xfId="0" applyFont="1" applyFill="1" applyBorder="1" applyAlignment="1">
      <alignment horizontal="left" vertical="center" wrapText="1"/>
    </xf>
    <xf numFmtId="43" fontId="13" fillId="7" borderId="6" xfId="1" applyFont="1" applyFill="1" applyBorder="1" applyAlignment="1" applyProtection="1">
      <alignment vertical="center"/>
    </xf>
    <xf numFmtId="43" fontId="4" fillId="5" borderId="5" xfId="0" applyNumberFormat="1" applyFont="1" applyFill="1" applyBorder="1" applyAlignment="1">
      <alignment vertical="top" wrapText="1"/>
    </xf>
    <xf numFmtId="0" fontId="13" fillId="4" borderId="5" xfId="0" applyFont="1" applyFill="1" applyBorder="1" applyAlignment="1">
      <alignment vertical="top" wrapText="1"/>
    </xf>
    <xf numFmtId="43" fontId="4" fillId="4" borderId="5" xfId="0" applyNumberFormat="1" applyFont="1" applyFill="1" applyBorder="1" applyAlignment="1">
      <alignment vertical="top" wrapText="1"/>
    </xf>
    <xf numFmtId="0" fontId="4" fillId="4" borderId="5" xfId="0" applyFont="1" applyFill="1" applyBorder="1"/>
    <xf numFmtId="43" fontId="4" fillId="4" borderId="5" xfId="1" applyFont="1" applyFill="1" applyBorder="1" applyAlignment="1">
      <alignment vertical="center"/>
    </xf>
    <xf numFmtId="0" fontId="4" fillId="4" borderId="0" xfId="0" applyFont="1" applyFill="1" applyAlignment="1">
      <alignment vertical="top" wrapText="1"/>
    </xf>
    <xf numFmtId="43" fontId="12" fillId="5" borderId="5" xfId="1" applyFont="1" applyFill="1" applyBorder="1" applyAlignment="1">
      <alignment horizontal="center" vertical="center" wrapText="1"/>
    </xf>
    <xf numFmtId="0" fontId="0" fillId="7" borderId="7" xfId="0" applyFill="1" applyBorder="1" applyAlignment="1">
      <alignment vertical="center"/>
    </xf>
    <xf numFmtId="0" fontId="0" fillId="7" borderId="6" xfId="0" applyFill="1" applyBorder="1" applyAlignment="1">
      <alignment vertical="center"/>
    </xf>
    <xf numFmtId="164" fontId="20" fillId="6" borderId="5" xfId="0" applyNumberFormat="1" applyFont="1" applyFill="1" applyBorder="1" applyAlignment="1">
      <alignment horizontal="center" vertical="center"/>
    </xf>
    <xf numFmtId="164" fontId="24" fillId="6" borderId="5" xfId="0" applyNumberFormat="1" applyFont="1" applyFill="1" applyBorder="1" applyAlignment="1">
      <alignment horizontal="center" vertical="top"/>
    </xf>
    <xf numFmtId="164" fontId="24" fillId="6" borderId="5" xfId="0" applyNumberFormat="1" applyFont="1" applyFill="1" applyBorder="1" applyAlignment="1">
      <alignment horizontal="center" vertical="top" wrapText="1"/>
    </xf>
    <xf numFmtId="0" fontId="4" fillId="0" borderId="0" xfId="0" applyFont="1" applyAlignment="1">
      <alignment vertical="top" wrapText="1"/>
    </xf>
    <xf numFmtId="0" fontId="26" fillId="0" borderId="0" xfId="0" applyFont="1" applyAlignment="1">
      <alignment vertical="center"/>
    </xf>
    <xf numFmtId="0" fontId="26" fillId="0" borderId="0" xfId="0" applyFont="1" applyAlignment="1">
      <alignment horizontal="center" vertical="center" wrapText="1"/>
    </xf>
    <xf numFmtId="0" fontId="27" fillId="0" borderId="0" xfId="0" applyFont="1" applyAlignment="1">
      <alignment vertical="center"/>
    </xf>
    <xf numFmtId="0" fontId="28" fillId="0" borderId="0" xfId="0" applyFont="1" applyAlignment="1">
      <alignment vertical="center"/>
    </xf>
    <xf numFmtId="0" fontId="26" fillId="0" borderId="0" xfId="0" applyFont="1" applyAlignment="1">
      <alignment horizontal="center" vertical="center"/>
    </xf>
    <xf numFmtId="0" fontId="27" fillId="0" borderId="5" xfId="0" applyFont="1" applyBorder="1" applyAlignment="1">
      <alignment vertical="center"/>
    </xf>
    <xf numFmtId="0" fontId="27" fillId="0" borderId="5" xfId="0" applyFont="1" applyBorder="1" applyAlignment="1">
      <alignment horizontal="center" vertical="center" wrapText="1"/>
    </xf>
    <xf numFmtId="0" fontId="27" fillId="0" borderId="5" xfId="0" applyFont="1" applyBorder="1" applyAlignment="1">
      <alignment horizontal="center" vertical="center"/>
    </xf>
    <xf numFmtId="0" fontId="26" fillId="0" borderId="5" xfId="0" applyFont="1" applyBorder="1" applyAlignment="1">
      <alignment vertical="center"/>
    </xf>
    <xf numFmtId="0" fontId="26" fillId="0" borderId="5" xfId="0" applyFont="1" applyBorder="1" applyAlignment="1">
      <alignment horizontal="center" vertical="center" wrapText="1"/>
    </xf>
    <xf numFmtId="0" fontId="26" fillId="0" borderId="5" xfId="0" applyFont="1" applyBorder="1" applyAlignment="1">
      <alignment horizontal="center" vertical="center"/>
    </xf>
    <xf numFmtId="43" fontId="26" fillId="0" borderId="5" xfId="1" applyFont="1" applyBorder="1" applyAlignment="1">
      <alignment horizontal="center" vertical="center" wrapText="1"/>
    </xf>
    <xf numFmtId="43" fontId="26" fillId="0" borderId="5" xfId="0" applyNumberFormat="1" applyFont="1" applyBorder="1" applyAlignment="1">
      <alignment horizontal="center" vertical="center"/>
    </xf>
    <xf numFmtId="0" fontId="28" fillId="0" borderId="5" xfId="0" applyFont="1" applyBorder="1" applyAlignment="1">
      <alignment vertical="center"/>
    </xf>
    <xf numFmtId="43" fontId="28" fillId="0" borderId="5" xfId="1" applyFont="1" applyBorder="1" applyAlignment="1">
      <alignment horizontal="center" vertical="center" wrapText="1"/>
    </xf>
    <xf numFmtId="43" fontId="27" fillId="0" borderId="5" xfId="0" applyNumberFormat="1" applyFont="1" applyBorder="1" applyAlignment="1">
      <alignment horizontal="center" vertical="center"/>
    </xf>
    <xf numFmtId="43" fontId="28" fillId="0" borderId="5" xfId="0" applyNumberFormat="1" applyFont="1" applyBorder="1" applyAlignment="1">
      <alignment horizontal="center" vertical="center" wrapText="1"/>
    </xf>
    <xf numFmtId="43" fontId="27" fillId="0" borderId="5" xfId="0" applyNumberFormat="1" applyFont="1" applyBorder="1" applyAlignment="1">
      <alignment horizontal="center" vertical="center" wrapText="1"/>
    </xf>
    <xf numFmtId="164" fontId="14" fillId="8" borderId="5" xfId="0" applyNumberFormat="1" applyFont="1" applyFill="1" applyBorder="1" applyAlignment="1" applyProtection="1">
      <alignment horizontal="center" vertical="center"/>
      <protection locked="0"/>
    </xf>
    <xf numFmtId="0" fontId="12" fillId="8" borderId="5" xfId="0" applyFont="1" applyFill="1" applyBorder="1" applyAlignment="1" applyProtection="1">
      <alignment horizontal="center" vertical="center" wrapText="1"/>
      <protection locked="0"/>
    </xf>
    <xf numFmtId="0" fontId="3" fillId="8" borderId="5" xfId="0" applyFont="1" applyFill="1" applyBorder="1" applyAlignment="1" applyProtection="1">
      <alignment horizontal="center" vertical="center" wrapText="1"/>
      <protection locked="0"/>
    </xf>
    <xf numFmtId="0" fontId="3" fillId="8" borderId="5" xfId="0" applyFont="1" applyFill="1" applyBorder="1" applyAlignment="1" applyProtection="1">
      <alignment horizontal="left" vertical="center" wrapText="1"/>
      <protection locked="0"/>
    </xf>
    <xf numFmtId="0" fontId="12" fillId="8" borderId="5" xfId="0" applyFont="1" applyFill="1" applyBorder="1" applyAlignment="1" applyProtection="1">
      <alignment horizontal="center" vertical="center"/>
      <protection locked="0"/>
    </xf>
    <xf numFmtId="43" fontId="12" fillId="8" borderId="5" xfId="1" applyFont="1" applyFill="1" applyBorder="1" applyAlignment="1" applyProtection="1">
      <alignment vertical="center"/>
      <protection locked="0"/>
    </xf>
    <xf numFmtId="43" fontId="4" fillId="8" borderId="5" xfId="1" applyFont="1" applyFill="1" applyBorder="1"/>
    <xf numFmtId="43" fontId="4" fillId="8" borderId="6" xfId="1" applyFont="1" applyFill="1" applyBorder="1"/>
    <xf numFmtId="43" fontId="12" fillId="8" borderId="5" xfId="1" applyFont="1" applyFill="1" applyBorder="1" applyAlignment="1" applyProtection="1">
      <alignment horizontal="right" vertical="center"/>
      <protection locked="0"/>
    </xf>
    <xf numFmtId="164" fontId="4" fillId="8" borderId="5" xfId="0" applyNumberFormat="1" applyFont="1" applyFill="1" applyBorder="1"/>
    <xf numFmtId="164" fontId="4" fillId="8" borderId="6" xfId="0" applyNumberFormat="1" applyFont="1" applyFill="1" applyBorder="1"/>
    <xf numFmtId="0" fontId="12" fillId="8" borderId="5" xfId="0" applyFont="1" applyFill="1" applyBorder="1" applyAlignment="1">
      <alignment horizontal="center" vertical="center" wrapText="1"/>
    </xf>
    <xf numFmtId="0" fontId="12" fillId="8" borderId="5" xfId="0" applyFont="1" applyFill="1" applyBorder="1" applyAlignment="1">
      <alignment horizontal="left" vertical="center" wrapText="1"/>
    </xf>
    <xf numFmtId="0" fontId="0" fillId="8" borderId="7" xfId="0" applyFill="1" applyBorder="1" applyAlignment="1">
      <alignment vertical="center"/>
    </xf>
    <xf numFmtId="0" fontId="0" fillId="8" borderId="6" xfId="0" applyFill="1" applyBorder="1" applyAlignment="1">
      <alignment vertical="center"/>
    </xf>
    <xf numFmtId="0" fontId="7" fillId="2" borderId="5" xfId="0" applyFont="1" applyFill="1" applyBorder="1" applyAlignment="1">
      <alignment horizontal="center" vertical="center" wrapText="1"/>
    </xf>
    <xf numFmtId="0" fontId="7" fillId="2" borderId="5" xfId="0" applyFont="1" applyFill="1" applyBorder="1" applyAlignment="1" applyProtection="1">
      <alignment horizontal="center" vertical="center" wrapText="1"/>
      <protection locked="0"/>
    </xf>
    <xf numFmtId="0" fontId="26" fillId="0" borderId="0" xfId="0" applyFont="1"/>
    <xf numFmtId="0" fontId="12" fillId="9" borderId="5" xfId="0" applyFont="1" applyFill="1" applyBorder="1" applyAlignment="1" applyProtection="1">
      <alignment horizontal="center" vertical="center" wrapText="1"/>
      <protection locked="0"/>
    </xf>
    <xf numFmtId="164" fontId="3" fillId="0" borderId="5" xfId="0" applyNumberFormat="1" applyFont="1" applyBorder="1" applyAlignment="1" applyProtection="1">
      <alignment vertical="center" wrapText="1"/>
      <protection locked="0"/>
    </xf>
    <xf numFmtId="0" fontId="13" fillId="0" borderId="0" xfId="0" applyFont="1" applyAlignment="1">
      <alignment vertical="center"/>
    </xf>
    <xf numFmtId="164" fontId="3" fillId="0" borderId="5" xfId="0" quotePrefix="1" applyNumberFormat="1" applyFont="1" applyBorder="1" applyAlignment="1" applyProtection="1">
      <alignment horizontal="left" vertical="top" wrapText="1"/>
      <protection locked="0"/>
    </xf>
    <xf numFmtId="0" fontId="3" fillId="0" borderId="5" xfId="0" quotePrefix="1" applyFont="1" applyBorder="1" applyAlignment="1" applyProtection="1">
      <alignment horizontal="left" vertical="center" wrapText="1"/>
      <protection locked="0"/>
    </xf>
    <xf numFmtId="0" fontId="3" fillId="0" borderId="5" xfId="0" applyFont="1" applyBorder="1" applyAlignment="1" applyProtection="1">
      <alignment vertical="center" wrapText="1"/>
      <protection locked="0"/>
    </xf>
    <xf numFmtId="0" fontId="14" fillId="0" borderId="5" xfId="0" applyFont="1" applyBorder="1" applyAlignment="1" applyProtection="1">
      <alignment vertical="center" wrapText="1"/>
      <protection locked="0"/>
    </xf>
    <xf numFmtId="0" fontId="14" fillId="0" borderId="5" xfId="0" applyFont="1" applyBorder="1" applyAlignment="1" applyProtection="1">
      <alignment horizontal="center" vertical="center" wrapText="1"/>
      <protection locked="0"/>
    </xf>
    <xf numFmtId="0" fontId="4" fillId="0" borderId="0" xfId="0" applyFont="1" applyAlignment="1">
      <alignment vertical="center"/>
    </xf>
    <xf numFmtId="0" fontId="14" fillId="0" borderId="5" xfId="0" applyFont="1" applyBorder="1" applyAlignment="1">
      <alignment vertical="center" wrapText="1"/>
    </xf>
    <xf numFmtId="0" fontId="3" fillId="0" borderId="5" xfId="0" applyFont="1" applyBorder="1" applyAlignment="1">
      <alignment horizontal="center" vertical="center"/>
    </xf>
    <xf numFmtId="0" fontId="3" fillId="7" borderId="5" xfId="0" applyFont="1" applyFill="1" applyBorder="1" applyAlignment="1">
      <alignment horizontal="center" vertical="center"/>
    </xf>
    <xf numFmtId="164" fontId="3" fillId="7" borderId="5" xfId="0" applyNumberFormat="1" applyFont="1" applyFill="1" applyBorder="1" applyAlignment="1" applyProtection="1">
      <alignment vertical="center" wrapText="1"/>
      <protection locked="0"/>
    </xf>
    <xf numFmtId="0" fontId="3" fillId="0" borderId="5" xfId="0" applyFont="1" applyBorder="1" applyAlignment="1">
      <alignment vertical="center" wrapText="1"/>
    </xf>
    <xf numFmtId="0" fontId="3" fillId="7" borderId="5" xfId="0" applyFont="1" applyFill="1" applyBorder="1" applyAlignment="1" applyProtection="1">
      <alignment vertical="center" wrapText="1"/>
      <protection locked="0"/>
    </xf>
    <xf numFmtId="0" fontId="3" fillId="0" borderId="5" xfId="0" quotePrefix="1" applyFont="1" applyBorder="1" applyAlignment="1">
      <alignment vertical="center" wrapText="1"/>
    </xf>
    <xf numFmtId="0" fontId="3" fillId="7" borderId="5" xfId="0" applyFont="1" applyFill="1" applyBorder="1" applyAlignment="1">
      <alignment vertical="center" wrapText="1"/>
    </xf>
    <xf numFmtId="0" fontId="3" fillId="0" borderId="5" xfId="0" quotePrefix="1" applyFont="1" applyBorder="1" applyAlignment="1" applyProtection="1">
      <alignment vertical="center" wrapText="1"/>
      <protection locked="0"/>
    </xf>
    <xf numFmtId="0" fontId="12" fillId="0" borderId="5" xfId="0" applyFont="1" applyBorder="1" applyAlignment="1">
      <alignment vertical="center" wrapText="1"/>
    </xf>
    <xf numFmtId="0" fontId="31" fillId="0" borderId="0" xfId="0" applyFont="1" applyAlignment="1" applyProtection="1">
      <alignment horizontal="center"/>
      <protection locked="0"/>
    </xf>
    <xf numFmtId="0" fontId="26" fillId="0" borderId="0" xfId="0" applyFont="1" applyAlignment="1">
      <alignment wrapText="1"/>
    </xf>
    <xf numFmtId="0" fontId="4" fillId="10" borderId="0" xfId="0" applyFont="1" applyFill="1" applyAlignment="1" applyProtection="1">
      <alignment vertical="center"/>
      <protection locked="0"/>
    </xf>
    <xf numFmtId="0" fontId="4" fillId="10" borderId="0" xfId="0" applyFont="1" applyFill="1" applyProtection="1">
      <protection locked="0"/>
    </xf>
    <xf numFmtId="43" fontId="13" fillId="10" borderId="6" xfId="1" applyFont="1" applyFill="1" applyBorder="1" applyAlignment="1" applyProtection="1">
      <alignment horizontal="right" vertical="center"/>
      <protection locked="0"/>
    </xf>
    <xf numFmtId="43" fontId="13" fillId="10" borderId="5" xfId="1" applyFont="1" applyFill="1" applyBorder="1" applyAlignment="1" applyProtection="1">
      <alignment horizontal="right" vertical="center"/>
      <protection locked="0"/>
    </xf>
    <xf numFmtId="4" fontId="13" fillId="10" borderId="5" xfId="1" applyNumberFormat="1" applyFont="1" applyFill="1" applyBorder="1" applyAlignment="1" applyProtection="1">
      <alignment horizontal="right" vertical="center"/>
      <protection locked="0"/>
    </xf>
    <xf numFmtId="164" fontId="4" fillId="10" borderId="5" xfId="0" applyNumberFormat="1" applyFont="1" applyFill="1" applyBorder="1"/>
    <xf numFmtId="0" fontId="4" fillId="10" borderId="0" xfId="0" applyFont="1" applyFill="1"/>
    <xf numFmtId="43" fontId="4" fillId="10" borderId="0" xfId="0" applyNumberFormat="1" applyFont="1" applyFill="1"/>
    <xf numFmtId="164" fontId="4" fillId="10" borderId="0" xfId="0" applyNumberFormat="1" applyFont="1" applyFill="1"/>
    <xf numFmtId="43" fontId="12" fillId="0" borderId="5" xfId="2" applyFont="1" applyBorder="1" applyAlignment="1" applyProtection="1">
      <alignment horizontal="center" vertical="center" wrapText="1"/>
      <protection locked="0"/>
    </xf>
    <xf numFmtId="43" fontId="3" fillId="11" borderId="5" xfId="1" applyFont="1" applyFill="1" applyBorder="1" applyAlignment="1" applyProtection="1">
      <alignment vertical="center"/>
      <protection locked="0"/>
    </xf>
    <xf numFmtId="43" fontId="12" fillId="11" borderId="5" xfId="1" applyFont="1" applyFill="1" applyBorder="1" applyAlignment="1" applyProtection="1">
      <alignment horizontal="right" vertical="center"/>
      <protection locked="0"/>
    </xf>
    <xf numFmtId="0" fontId="3" fillId="11" borderId="5" xfId="0" applyFont="1" applyFill="1" applyBorder="1" applyAlignment="1" applyProtection="1">
      <alignment horizontal="center" vertical="center" wrapText="1"/>
      <protection locked="0"/>
    </xf>
    <xf numFmtId="164" fontId="18" fillId="4" borderId="5" xfId="0" applyNumberFormat="1" applyFont="1" applyFill="1" applyBorder="1" applyAlignment="1" applyProtection="1">
      <alignment horizontal="left" vertical="top" wrapText="1"/>
      <protection locked="0"/>
    </xf>
    <xf numFmtId="164" fontId="0" fillId="0" borderId="0" xfId="0" applyNumberFormat="1"/>
    <xf numFmtId="0" fontId="32" fillId="0" borderId="0" xfId="0" applyFont="1"/>
    <xf numFmtId="0" fontId="18" fillId="4" borderId="5" xfId="0" applyFont="1" applyFill="1" applyBorder="1" applyAlignment="1">
      <alignment horizontal="left" vertical="top" wrapText="1"/>
    </xf>
    <xf numFmtId="0" fontId="18" fillId="4" borderId="5" xfId="0" applyFont="1" applyFill="1" applyBorder="1" applyAlignment="1">
      <alignment vertical="top" wrapText="1"/>
    </xf>
    <xf numFmtId="164" fontId="4" fillId="4" borderId="5" xfId="0" applyNumberFormat="1" applyFont="1" applyFill="1" applyBorder="1" applyAlignment="1">
      <alignment vertical="top" wrapText="1"/>
    </xf>
    <xf numFmtId="4" fontId="33" fillId="0" borderId="0" xfId="0" applyNumberFormat="1" applyFont="1"/>
    <xf numFmtId="164" fontId="4" fillId="5" borderId="5" xfId="0" applyNumberFormat="1" applyFont="1" applyFill="1" applyBorder="1" applyAlignment="1">
      <alignment vertical="top" wrapText="1"/>
    </xf>
    <xf numFmtId="0" fontId="4" fillId="4" borderId="0" xfId="0" applyFont="1" applyFill="1"/>
    <xf numFmtId="164" fontId="34" fillId="5" borderId="5" xfId="0" applyNumberFormat="1" applyFont="1" applyFill="1" applyBorder="1" applyAlignment="1" applyProtection="1">
      <alignment horizontal="center" vertical="center"/>
      <protection locked="0"/>
    </xf>
    <xf numFmtId="0" fontId="18" fillId="7" borderId="5" xfId="0" applyFont="1" applyFill="1" applyBorder="1" applyAlignment="1">
      <alignment vertical="top" wrapText="1"/>
    </xf>
    <xf numFmtId="0" fontId="22" fillId="4" borderId="9" xfId="0" applyFont="1" applyFill="1" applyBorder="1" applyAlignment="1">
      <alignment horizontal="center" vertical="center" wrapText="1"/>
    </xf>
    <xf numFmtId="43" fontId="3" fillId="0" borderId="0" xfId="0" applyNumberFormat="1" applyFont="1" applyAlignment="1">
      <alignment vertical="center"/>
    </xf>
    <xf numFmtId="166" fontId="0" fillId="0" borderId="5" xfId="1" applyNumberFormat="1" applyFont="1" applyBorder="1"/>
    <xf numFmtId="9" fontId="0" fillId="0" borderId="5" xfId="3" applyFont="1" applyBorder="1"/>
    <xf numFmtId="0" fontId="33" fillId="0" borderId="5" xfId="0" applyFont="1" applyBorder="1"/>
    <xf numFmtId="0" fontId="33" fillId="0" borderId="0" xfId="0" applyFont="1"/>
    <xf numFmtId="9" fontId="0" fillId="0" borderId="0" xfId="3" applyFont="1"/>
    <xf numFmtId="43" fontId="0" fillId="0" borderId="0" xfId="0" applyNumberFormat="1"/>
    <xf numFmtId="43" fontId="13" fillId="4" borderId="6" xfId="1" applyFont="1" applyFill="1" applyBorder="1" applyAlignment="1" applyProtection="1">
      <alignment horizontal="center" vertical="center"/>
    </xf>
    <xf numFmtId="43" fontId="4" fillId="4" borderId="5" xfId="1" applyFont="1" applyFill="1" applyBorder="1" applyAlignment="1">
      <alignment horizontal="center"/>
    </xf>
    <xf numFmtId="43" fontId="4" fillId="4" borderId="5" xfId="0" applyNumberFormat="1" applyFont="1" applyFill="1" applyBorder="1" applyAlignment="1">
      <alignment horizontal="center"/>
    </xf>
    <xf numFmtId="164" fontId="3" fillId="0" borderId="0" xfId="0" applyNumberFormat="1" applyFont="1" applyAlignment="1">
      <alignment vertical="center"/>
    </xf>
    <xf numFmtId="9" fontId="3" fillId="0" borderId="0" xfId="3" applyFont="1" applyAlignment="1">
      <alignment vertical="center"/>
    </xf>
    <xf numFmtId="166" fontId="0" fillId="0" borderId="5" xfId="3" applyNumberFormat="1" applyFont="1" applyBorder="1"/>
    <xf numFmtId="167" fontId="0" fillId="0" borderId="5" xfId="0" applyNumberFormat="1" applyBorder="1"/>
    <xf numFmtId="43" fontId="13" fillId="4" borderId="0" xfId="1" applyFont="1" applyFill="1" applyBorder="1" applyAlignment="1" applyProtection="1">
      <alignment vertical="center"/>
    </xf>
    <xf numFmtId="0" fontId="20" fillId="6" borderId="5" xfId="0" applyFont="1" applyFill="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wrapText="1"/>
    </xf>
    <xf numFmtId="43" fontId="13" fillId="0" borderId="8" xfId="1" applyFont="1" applyFill="1" applyBorder="1" applyAlignment="1" applyProtection="1">
      <alignment vertical="center"/>
    </xf>
    <xf numFmtId="0" fontId="0" fillId="0" borderId="7" xfId="0" applyBorder="1" applyAlignment="1">
      <alignment vertical="center"/>
    </xf>
    <xf numFmtId="0" fontId="0" fillId="0" borderId="6" xfId="0" applyBorder="1" applyAlignment="1">
      <alignment vertical="center"/>
    </xf>
    <xf numFmtId="0" fontId="19" fillId="5" borderId="5" xfId="0" applyFont="1" applyFill="1" applyBorder="1" applyAlignment="1" applyProtection="1">
      <alignment horizontal="center" vertical="center" wrapText="1"/>
      <protection locked="0"/>
    </xf>
    <xf numFmtId="0" fontId="11" fillId="0" borderId="5" xfId="0" applyFont="1" applyBorder="1" applyAlignment="1" applyProtection="1">
      <alignment horizontal="center" vertical="center" textRotation="90" wrapText="1"/>
      <protection locked="0"/>
    </xf>
    <xf numFmtId="0" fontId="12" fillId="0" borderId="5"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5"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12" fillId="0" borderId="5" xfId="0" applyFont="1" applyBorder="1" applyAlignment="1" applyProtection="1">
      <alignment horizontal="center" vertical="top" wrapText="1"/>
      <protection locked="0"/>
    </xf>
    <xf numFmtId="0" fontId="12" fillId="0" borderId="5" xfId="0" applyFont="1" applyBorder="1" applyAlignment="1" applyProtection="1">
      <alignment horizontal="center" vertical="center" wrapText="1"/>
      <protection locked="0"/>
    </xf>
    <xf numFmtId="43" fontId="13" fillId="0" borderId="7" xfId="1" applyFont="1" applyFill="1" applyBorder="1" applyAlignment="1" applyProtection="1">
      <alignment vertical="center"/>
    </xf>
    <xf numFmtId="0" fontId="7" fillId="2" borderId="2" xfId="0" applyFont="1" applyFill="1" applyBorder="1" applyAlignment="1">
      <alignment horizontal="center" vertical="center" wrapText="1"/>
    </xf>
    <xf numFmtId="0" fontId="7" fillId="2" borderId="0" xfId="0" applyFont="1" applyFill="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5" fillId="0" borderId="0" xfId="0" applyFont="1" applyAlignment="1" applyProtection="1">
      <alignment horizontal="left" vertical="center"/>
      <protection locked="0"/>
    </xf>
    <xf numFmtId="0" fontId="0" fillId="0" borderId="0" xfId="0" applyAlignment="1">
      <alignment vertical="center"/>
    </xf>
    <xf numFmtId="0" fontId="7" fillId="2" borderId="2" xfId="0" applyFont="1" applyFill="1" applyBorder="1" applyAlignment="1">
      <alignment horizontal="left" vertical="center" wrapText="1"/>
    </xf>
    <xf numFmtId="0" fontId="7" fillId="2" borderId="0" xfId="0" applyFont="1" applyFill="1" applyAlignment="1">
      <alignment horizontal="left" vertical="center" wrapText="1"/>
    </xf>
    <xf numFmtId="0" fontId="8" fillId="2" borderId="2" xfId="0" applyFont="1" applyFill="1" applyBorder="1" applyAlignment="1">
      <alignment horizontal="center" vertical="center" wrapText="1"/>
    </xf>
    <xf numFmtId="0" fontId="8" fillId="2" borderId="0" xfId="0" applyFont="1" applyFill="1" applyAlignment="1">
      <alignment horizontal="center" vertical="center" wrapText="1"/>
    </xf>
    <xf numFmtId="0" fontId="9" fillId="2"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0" fillId="10" borderId="0" xfId="0" applyFill="1" applyAlignment="1">
      <alignment horizontal="center" vertical="center" wrapText="1"/>
    </xf>
    <xf numFmtId="164" fontId="18" fillId="4" borderId="8" xfId="0" applyNumberFormat="1" applyFont="1" applyFill="1" applyBorder="1" applyAlignment="1" applyProtection="1">
      <alignment horizontal="left" vertical="top" wrapText="1"/>
      <protection locked="0"/>
    </xf>
    <xf numFmtId="0" fontId="32" fillId="0" borderId="7" xfId="0" applyFont="1" applyBorder="1" applyAlignment="1">
      <alignment vertical="top" wrapText="1"/>
    </xf>
    <xf numFmtId="0" fontId="32" fillId="0" borderId="6" xfId="0" applyFont="1" applyBorder="1" applyAlignment="1">
      <alignment vertical="top" wrapText="1"/>
    </xf>
    <xf numFmtId="0" fontId="22" fillId="4"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0" fillId="0" borderId="2" xfId="0" applyBorder="1" applyAlignment="1">
      <alignment horizontal="center" vertical="center" wrapText="1"/>
    </xf>
    <xf numFmtId="0" fontId="23" fillId="4" borderId="0" xfId="0" applyFont="1" applyFill="1" applyAlignment="1">
      <alignment horizontal="center" vertical="center" wrapText="1"/>
    </xf>
    <xf numFmtId="0" fontId="24" fillId="4" borderId="8"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4" fillId="0" borderId="0" xfId="0" applyFont="1" applyAlignment="1">
      <alignment vertical="center" wrapText="1"/>
    </xf>
    <xf numFmtId="0" fontId="29" fillId="0" borderId="0" xfId="0" applyFont="1" applyAlignment="1">
      <alignment vertical="center"/>
    </xf>
    <xf numFmtId="0" fontId="33" fillId="0" borderId="5" xfId="0" applyFont="1" applyFill="1" applyBorder="1" applyAlignment="1">
      <alignment wrapText="1"/>
    </xf>
    <xf numFmtId="0" fontId="36" fillId="0" borderId="5" xfId="0" applyFont="1" applyFill="1" applyBorder="1" applyAlignment="1">
      <alignment wrapText="1"/>
    </xf>
    <xf numFmtId="166" fontId="0" fillId="0" borderId="5" xfId="1" applyNumberFormat="1" applyFont="1" applyFill="1" applyBorder="1" applyAlignment="1">
      <alignment wrapText="1"/>
    </xf>
    <xf numFmtId="0" fontId="0" fillId="0" borderId="0" xfId="0" applyFill="1" applyAlignment="1">
      <alignment wrapText="1"/>
    </xf>
    <xf numFmtId="167" fontId="0" fillId="0" borderId="0" xfId="0" applyNumberFormat="1" applyFill="1" applyAlignment="1">
      <alignment wrapText="1"/>
    </xf>
  </cellXfs>
  <cellStyles count="4">
    <cellStyle name="Comma" xfId="1" builtinId="3"/>
    <cellStyle name="Comma 5" xfId="2" xr:uid="{F6950626-101D-406E-AFB9-B935ACE4F595}"/>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lvins\AppData\Local\Microsoft\Windows\INetCache\Content.Outlook\4TAYZTLV\Revised%20Annex%202_2018-2023%20Van%20KIRAP_detailed-budget-plan%20Side%20letter%202%20budget.xlsx" TargetMode="External"/><Relationship Id="rId1" Type="http://schemas.openxmlformats.org/officeDocument/2006/relationships/externalLinkPath" Target="/Users/alvins/AppData/Local/Microsoft/Windows/INetCache/Content.Outlook/4TAYZTLV/Revised%20Annex%202_2018-2023%20Van%20KIRAP_detailed-budget-plan%20Side%20letter%202%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elines"/>
      <sheetName val="Budget Plan"/>
      <sheetName val="Budget Changes-Extension"/>
      <sheetName val="Operational Budget Changes"/>
      <sheetName val="Budget Notes"/>
      <sheetName val="Budget Category"/>
    </sheetNames>
    <sheetDataSet>
      <sheetData sheetId="0"/>
      <sheetData sheetId="1">
        <row r="188">
          <cell r="O188">
            <v>288238.570649095</v>
          </cell>
          <cell r="W188">
            <v>323688.37413941819</v>
          </cell>
          <cell r="AE188">
            <v>147538.07</v>
          </cell>
        </row>
        <row r="284">
          <cell r="O284">
            <v>3493.5200000000004</v>
          </cell>
          <cell r="W284">
            <v>2361.37</v>
          </cell>
          <cell r="AE284">
            <v>-577.91999999999996</v>
          </cell>
        </row>
        <row r="336">
          <cell r="O336">
            <v>10289.030000000001</v>
          </cell>
          <cell r="W336">
            <v>11379.779999999999</v>
          </cell>
          <cell r="AE336">
            <v>0</v>
          </cell>
        </row>
        <row r="371">
          <cell r="O371">
            <v>0</v>
          </cell>
          <cell r="W371">
            <v>0</v>
          </cell>
          <cell r="AE371">
            <v>0</v>
          </cell>
        </row>
        <row r="395">
          <cell r="O395">
            <v>5500</v>
          </cell>
          <cell r="W395">
            <v>0</v>
          </cell>
          <cell r="AE395">
            <v>0</v>
          </cell>
        </row>
      </sheetData>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Sunny Seuseu" id="{55CF2941-D4DB-6E4A-A601-55FE2239F8EE}" userId="S::sunnys@sprep.org::05a5caf1-8ea1-4e5e-a4c4-9e651313beaf" providerId="AD"/>
  <person displayName="Nathaniel Pappoe" id="{0E743947-2B87-4C90-AF8B-20CEE3D5F445}" userId="S::npappoe@gcfund.org::849bfeb4-0088-4226-b238-d7ea5415a5d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Y225" dT="2023-08-07T23:09:56.55" personId="{55CF2941-D4DB-6E4A-A601-55FE2239F8EE}" id="{80C4AFA7-0697-A04F-AA68-9D55A201EACA}">
    <text>27,000 minus 6,000 to be transferred to B35 and B36</text>
  </threadedComment>
  <threadedComment ref="X277" dT="2023-08-08T04:07:30.77" personId="{55CF2941-D4DB-6E4A-A601-55FE2239F8EE}" id="{DD590EF7-A292-0F49-B75C-364CB924DFBB}">
    <text xml:space="preserve">Savings from 2023
</text>
  </threadedComment>
  <threadedComment ref="X280" dT="2023-08-08T04:08:51.50" personId="{55CF2941-D4DB-6E4A-A601-55FE2239F8EE}" id="{048BD44F-55A4-4144-9DAF-316AE423BAE0}">
    <text>Savings from 2023 = USD4872.46+Variance = USD3000</text>
  </threadedComment>
</ThreadedComments>
</file>

<file path=xl/threadedComments/threadedComment2.xml><?xml version="1.0" encoding="utf-8"?>
<ThreadedComments xmlns="http://schemas.microsoft.com/office/spreadsheetml/2018/threadedcomments" xmlns:x="http://schemas.openxmlformats.org/spreadsheetml/2006/main">
  <threadedComment ref="H12" dT="2023-08-26T15:22:09.83" personId="{0E743947-2B87-4C90-AF8B-20CEE3D5F445}" id="{16A378FE-55F3-44F4-85AE-1D850FF96125}">
    <text>Please provide the co-financing expenditure for each year till date as a separate column</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1CEE8-2E5A-411D-A23E-4220486DD10B}">
  <dimension ref="A1:AF463"/>
  <sheetViews>
    <sheetView topLeftCell="C3" zoomScale="112" zoomScaleNormal="112" workbookViewId="0">
      <pane xSplit="4" ySplit="6" topLeftCell="W56" activePane="bottomRight" state="frozen"/>
      <selection activeCell="C3" sqref="C3"/>
      <selection pane="topRight" activeCell="G3" sqref="G3"/>
      <selection pane="bottomLeft" activeCell="C9" sqref="C9"/>
      <selection pane="bottomRight" activeCell="AB62" sqref="AB62:AB68"/>
    </sheetView>
  </sheetViews>
  <sheetFormatPr defaultColWidth="10.453125" defaultRowHeight="14.5" x14ac:dyDescent="0.35"/>
  <cols>
    <col min="1" max="1" width="13" hidden="1" customWidth="1"/>
    <col min="2" max="2" width="30.81640625" hidden="1" customWidth="1"/>
    <col min="3" max="3" width="33.36328125" customWidth="1"/>
    <col min="4" max="4" width="12.36328125" style="105" customWidth="1"/>
    <col min="6" max="6" width="27.453125" style="106" customWidth="1"/>
    <col min="7" max="9" width="10.81640625" customWidth="1"/>
    <col min="10" max="10" width="11.81640625" customWidth="1"/>
    <col min="11" max="18" width="10.81640625" customWidth="1"/>
    <col min="19" max="19" width="12.81640625" style="223" customWidth="1"/>
    <col min="20" max="20" width="12.81640625" style="94" customWidth="1"/>
    <col min="21" max="23" width="11.81640625" style="94" customWidth="1"/>
    <col min="24" max="25" width="11.81640625" style="94" hidden="1" customWidth="1"/>
    <col min="26" max="31" width="11.81640625" style="94" customWidth="1"/>
    <col min="32" max="32" width="10.81640625" customWidth="1"/>
  </cols>
  <sheetData>
    <row r="1" spans="1:32" ht="15" customHeight="1" x14ac:dyDescent="0.35">
      <c r="A1" s="1" t="s">
        <v>0</v>
      </c>
      <c r="B1" s="2"/>
      <c r="C1" s="2"/>
      <c r="D1" s="3"/>
      <c r="E1" s="4"/>
      <c r="F1" s="5"/>
      <c r="G1" s="3"/>
      <c r="H1" s="2"/>
      <c r="I1" s="2"/>
      <c r="J1" s="2"/>
      <c r="K1" s="2"/>
      <c r="L1" s="2"/>
      <c r="M1" s="2"/>
      <c r="N1" s="2"/>
      <c r="O1" s="2"/>
      <c r="P1" s="2"/>
      <c r="Q1" s="2"/>
      <c r="R1" s="2"/>
      <c r="S1" s="217"/>
      <c r="T1" s="6"/>
      <c r="U1" s="6"/>
      <c r="V1" s="6"/>
      <c r="W1" s="6"/>
      <c r="X1" s="6"/>
      <c r="Y1" s="6"/>
      <c r="Z1" s="6"/>
      <c r="AA1" s="6"/>
      <c r="AB1" s="6"/>
      <c r="AC1" s="6"/>
      <c r="AD1" s="6"/>
      <c r="AE1" s="6"/>
      <c r="AF1" s="3"/>
    </row>
    <row r="2" spans="1:32" ht="15" customHeight="1" x14ac:dyDescent="0.35">
      <c r="A2" s="278" t="s">
        <v>1</v>
      </c>
      <c r="B2" s="278"/>
      <c r="C2" s="278"/>
      <c r="D2" s="278"/>
      <c r="E2" s="278"/>
      <c r="F2" s="278"/>
      <c r="G2" s="278"/>
      <c r="H2" s="279"/>
      <c r="I2" s="279"/>
      <c r="J2" s="279"/>
      <c r="K2" s="279"/>
      <c r="L2" s="279"/>
      <c r="M2" s="279"/>
      <c r="N2" s="279"/>
      <c r="O2" s="279"/>
      <c r="P2" s="279"/>
      <c r="Q2" s="7"/>
      <c r="R2" s="7"/>
      <c r="S2" s="217"/>
      <c r="T2" s="6"/>
      <c r="U2" s="6"/>
      <c r="V2" s="6"/>
      <c r="W2" s="6"/>
      <c r="X2" s="6"/>
      <c r="Y2" s="6"/>
      <c r="Z2" s="6"/>
      <c r="AA2" s="6"/>
      <c r="AB2" s="6"/>
      <c r="AC2" s="6"/>
      <c r="AD2" s="6"/>
      <c r="AE2" s="6"/>
      <c r="AF2" s="6"/>
    </row>
    <row r="3" spans="1:32" ht="15" customHeight="1" x14ac:dyDescent="0.35">
      <c r="A3" s="8"/>
      <c r="B3" s="9"/>
      <c r="C3" s="9"/>
      <c r="D3" s="10"/>
      <c r="E3" s="11"/>
      <c r="F3" s="12"/>
      <c r="G3" s="10"/>
      <c r="H3" s="9"/>
      <c r="I3" s="9"/>
      <c r="J3" s="9"/>
      <c r="K3" s="9"/>
      <c r="L3" s="9"/>
      <c r="M3" s="9"/>
      <c r="N3" s="9"/>
      <c r="O3" s="9"/>
      <c r="P3" s="9"/>
      <c r="Q3" s="9"/>
      <c r="R3" s="9"/>
      <c r="S3" s="218"/>
      <c r="T3" s="13"/>
      <c r="U3" s="13"/>
      <c r="V3" s="13"/>
      <c r="W3" s="13"/>
      <c r="X3" s="13"/>
      <c r="Y3" s="13"/>
      <c r="Z3" s="13"/>
      <c r="AA3" s="13"/>
      <c r="AB3" s="13"/>
      <c r="AC3" s="13"/>
      <c r="AD3" s="13"/>
      <c r="AE3" s="13"/>
      <c r="AF3" s="10"/>
    </row>
    <row r="4" spans="1:32" ht="20" customHeight="1" x14ac:dyDescent="0.35">
      <c r="A4" s="14" t="s">
        <v>2</v>
      </c>
      <c r="B4" s="15"/>
      <c r="C4" s="280" t="s">
        <v>3</v>
      </c>
      <c r="D4" s="274" t="s">
        <v>4</v>
      </c>
      <c r="E4" s="282" t="s">
        <v>5</v>
      </c>
      <c r="F4" s="16"/>
      <c r="G4" s="17"/>
      <c r="H4" s="17"/>
      <c r="I4" s="17"/>
      <c r="J4" s="284" t="s">
        <v>6</v>
      </c>
      <c r="K4" s="285"/>
      <c r="L4" s="275" t="s">
        <v>7</v>
      </c>
      <c r="M4" s="275"/>
      <c r="N4" s="276"/>
      <c r="O4" s="276"/>
      <c r="P4" s="276"/>
      <c r="Q4" s="276"/>
      <c r="R4" s="276"/>
      <c r="S4" s="287"/>
      <c r="T4" s="276"/>
      <c r="U4" s="276"/>
      <c r="V4" s="276"/>
      <c r="W4" s="276"/>
      <c r="X4" s="20"/>
      <c r="Y4" s="20"/>
      <c r="Z4" s="275" t="s">
        <v>2</v>
      </c>
      <c r="AA4" s="18"/>
      <c r="AB4" s="18"/>
      <c r="AC4" s="18"/>
      <c r="AD4" s="18"/>
      <c r="AE4" s="18"/>
      <c r="AF4" s="274" t="s">
        <v>8</v>
      </c>
    </row>
    <row r="5" spans="1:32" ht="20" customHeight="1" x14ac:dyDescent="0.35">
      <c r="A5" s="21" t="s">
        <v>9</v>
      </c>
      <c r="B5" s="22" t="s">
        <v>10</v>
      </c>
      <c r="C5" s="281"/>
      <c r="D5" s="275"/>
      <c r="E5" s="283"/>
      <c r="F5" s="23" t="s">
        <v>11</v>
      </c>
      <c r="G5" s="18" t="s">
        <v>12</v>
      </c>
      <c r="H5" s="18" t="s">
        <v>13</v>
      </c>
      <c r="I5" s="18" t="s">
        <v>14</v>
      </c>
      <c r="J5" s="286"/>
      <c r="K5" s="286"/>
      <c r="L5" s="276"/>
      <c r="M5" s="276"/>
      <c r="N5" s="276"/>
      <c r="O5" s="276"/>
      <c r="P5" s="276"/>
      <c r="Q5" s="276"/>
      <c r="R5" s="276"/>
      <c r="S5" s="276"/>
      <c r="T5" s="276"/>
      <c r="U5" s="276"/>
      <c r="V5" s="276"/>
      <c r="W5" s="276"/>
      <c r="X5" s="19"/>
      <c r="Y5" s="19"/>
      <c r="Z5" s="277"/>
      <c r="AA5" s="18"/>
      <c r="AB5" s="18"/>
      <c r="AC5" s="18"/>
      <c r="AD5" s="18"/>
      <c r="AE5" s="18"/>
      <c r="AF5" s="275"/>
    </row>
    <row r="6" spans="1:32" ht="20" customHeight="1" x14ac:dyDescent="0.35">
      <c r="A6" s="21"/>
      <c r="B6" s="22"/>
      <c r="C6" s="281"/>
      <c r="D6" s="275"/>
      <c r="E6" s="283"/>
      <c r="F6" s="23"/>
      <c r="G6" s="18"/>
      <c r="H6" s="18"/>
      <c r="I6" s="18"/>
      <c r="J6" s="286"/>
      <c r="K6" s="286"/>
      <c r="L6" s="276"/>
      <c r="M6" s="276"/>
      <c r="N6" s="276"/>
      <c r="O6" s="276"/>
      <c r="P6" s="276"/>
      <c r="Q6" s="276"/>
      <c r="R6" s="276"/>
      <c r="S6" s="276"/>
      <c r="T6" s="276"/>
      <c r="U6" s="276"/>
      <c r="V6" s="276"/>
      <c r="W6" s="276"/>
      <c r="X6" s="19"/>
      <c r="Y6" s="19"/>
      <c r="Z6" s="276"/>
      <c r="AA6" s="18"/>
      <c r="AB6" s="275" t="s">
        <v>15</v>
      </c>
      <c r="AC6" s="276"/>
      <c r="AD6" s="274" t="s">
        <v>16</v>
      </c>
      <c r="AE6" s="274"/>
      <c r="AF6" s="275"/>
    </row>
    <row r="7" spans="1:32" ht="20" customHeight="1" x14ac:dyDescent="0.35">
      <c r="A7" s="21"/>
      <c r="B7" s="22"/>
      <c r="C7" s="281"/>
      <c r="D7" s="275"/>
      <c r="E7" s="283"/>
      <c r="F7" s="23"/>
      <c r="G7" s="18"/>
      <c r="H7" s="18"/>
      <c r="I7" s="18"/>
      <c r="J7" s="275" t="s">
        <v>17</v>
      </c>
      <c r="K7" s="275" t="s">
        <v>18</v>
      </c>
      <c r="L7" s="275" t="s">
        <v>19</v>
      </c>
      <c r="M7" s="276"/>
      <c r="N7" s="275">
        <v>2020</v>
      </c>
      <c r="O7" s="276"/>
      <c r="P7" s="275">
        <v>2021</v>
      </c>
      <c r="Q7" s="276"/>
      <c r="R7" s="275" t="s">
        <v>20</v>
      </c>
      <c r="S7" s="275">
        <v>2022</v>
      </c>
      <c r="T7" s="276"/>
      <c r="U7" s="275">
        <v>2023</v>
      </c>
      <c r="V7" s="276"/>
      <c r="W7" s="275" t="s">
        <v>21</v>
      </c>
      <c r="X7" s="276"/>
      <c r="Y7" s="276"/>
      <c r="Z7" s="276"/>
      <c r="AA7" s="275" t="s">
        <v>22</v>
      </c>
      <c r="AB7" s="276"/>
      <c r="AC7" s="276"/>
      <c r="AD7" s="275"/>
      <c r="AE7" s="275"/>
      <c r="AF7" s="275"/>
    </row>
    <row r="8" spans="1:32" ht="20" customHeight="1" x14ac:dyDescent="0.35">
      <c r="A8" s="21"/>
      <c r="B8" s="22"/>
      <c r="C8" s="281"/>
      <c r="D8" s="275"/>
      <c r="E8" s="283"/>
      <c r="F8" s="23"/>
      <c r="G8" s="18"/>
      <c r="H8" s="18"/>
      <c r="I8" s="18"/>
      <c r="J8" s="277"/>
      <c r="K8" s="277"/>
      <c r="L8" s="18" t="s">
        <v>17</v>
      </c>
      <c r="M8" s="18" t="s">
        <v>23</v>
      </c>
      <c r="N8" s="18" t="s">
        <v>17</v>
      </c>
      <c r="O8" s="18" t="s">
        <v>23</v>
      </c>
      <c r="P8" s="18" t="s">
        <v>17</v>
      </c>
      <c r="Q8" s="18" t="s">
        <v>23</v>
      </c>
      <c r="R8" s="276"/>
      <c r="S8" s="18" t="s">
        <v>17</v>
      </c>
      <c r="T8" s="18" t="s">
        <v>23</v>
      </c>
      <c r="U8" s="18" t="s">
        <v>17</v>
      </c>
      <c r="V8" s="18" t="s">
        <v>23</v>
      </c>
      <c r="W8" s="18" t="s">
        <v>17</v>
      </c>
      <c r="X8" s="18" t="s">
        <v>23</v>
      </c>
      <c r="Y8" s="18" t="s">
        <v>17</v>
      </c>
      <c r="Z8" s="18" t="s">
        <v>23</v>
      </c>
      <c r="AA8" s="276"/>
      <c r="AB8" s="18" t="s">
        <v>17</v>
      </c>
      <c r="AC8" s="18" t="s">
        <v>23</v>
      </c>
      <c r="AD8" s="18" t="s">
        <v>17</v>
      </c>
      <c r="AE8" s="18" t="s">
        <v>23</v>
      </c>
      <c r="AF8" s="275"/>
    </row>
    <row r="9" spans="1:32" ht="17" customHeight="1" x14ac:dyDescent="0.35">
      <c r="A9" s="264" t="s">
        <v>24</v>
      </c>
      <c r="B9" s="272" t="s">
        <v>25</v>
      </c>
      <c r="C9" s="272" t="s">
        <v>26</v>
      </c>
      <c r="D9" s="25" t="s">
        <v>17</v>
      </c>
      <c r="E9" s="25" t="s">
        <v>27</v>
      </c>
      <c r="F9" s="26" t="s">
        <v>28</v>
      </c>
      <c r="G9" s="25" t="s">
        <v>29</v>
      </c>
      <c r="H9" s="27">
        <v>16.399999999999999</v>
      </c>
      <c r="I9" s="28">
        <v>7020</v>
      </c>
      <c r="J9" s="28">
        <v>115250</v>
      </c>
      <c r="K9" s="28">
        <v>0</v>
      </c>
      <c r="L9" s="28">
        <v>67574.399999999994</v>
      </c>
      <c r="M9" s="28"/>
      <c r="N9" s="28">
        <v>13231.02</v>
      </c>
      <c r="O9" s="28">
        <v>0</v>
      </c>
      <c r="P9" s="28"/>
      <c r="Q9" s="29"/>
      <c r="R9" s="29">
        <v>34444.58</v>
      </c>
      <c r="S9" s="219">
        <v>34444.58</v>
      </c>
      <c r="T9" s="30">
        <v>0</v>
      </c>
      <c r="U9" s="30">
        <v>0</v>
      </c>
      <c r="V9" s="30"/>
      <c r="W9" s="31">
        <f>L9+N9+P9+S9+U9</f>
        <v>115250</v>
      </c>
      <c r="X9" s="32" t="e">
        <f>#REF!-W9</f>
        <v>#REF!</v>
      </c>
      <c r="Y9" s="32"/>
      <c r="Z9" s="33">
        <f>M9+O9+Q9+T9+V9</f>
        <v>0</v>
      </c>
      <c r="AA9" s="33">
        <f>J9-W9</f>
        <v>0</v>
      </c>
      <c r="AB9" s="273">
        <f>SUM(W9:W13)</f>
        <v>139400</v>
      </c>
      <c r="AC9" s="273">
        <f>SUM(Z9:Z13)</f>
        <v>18893.2</v>
      </c>
      <c r="AD9" s="273">
        <f>AB14+AB34+AB39+AB53+AB61+AB69+AB84+AB95+AB106+AB111+AB118+AB124+AB130+AB137+AB142+AB148+AB155+AB161+AB166+AB173+AB178+AB195+AB206+AB214+AB215</f>
        <v>9412471.7328680102</v>
      </c>
      <c r="AE9" s="273">
        <f>AC14+AC34+AC39+AC53+AC61+AC69+AC84+AC95+AC106+AC111+AC118+AC124+AC130+AC137+AC142+AC148+AC155+AC161+AC166+AC173+AC178+AC195+AC206+AC214+AC215</f>
        <v>1630679.0636678138</v>
      </c>
      <c r="AF9" s="34" t="s">
        <v>30</v>
      </c>
    </row>
    <row r="10" spans="1:32" ht="15" customHeight="1" x14ac:dyDescent="0.35">
      <c r="A10" s="264"/>
      <c r="B10" s="272"/>
      <c r="C10" s="272"/>
      <c r="D10" s="25" t="s">
        <v>31</v>
      </c>
      <c r="E10" s="25" t="s">
        <v>27</v>
      </c>
      <c r="F10" s="26" t="s">
        <v>28</v>
      </c>
      <c r="G10" s="27" t="s">
        <v>29</v>
      </c>
      <c r="H10" s="27">
        <v>3.3</v>
      </c>
      <c r="I10" s="35">
        <v>7020</v>
      </c>
      <c r="J10" s="35">
        <v>0</v>
      </c>
      <c r="K10" s="35">
        <v>23200</v>
      </c>
      <c r="L10" s="35"/>
      <c r="M10" s="35"/>
      <c r="N10" s="35"/>
      <c r="O10" s="35">
        <v>8893.2000000000007</v>
      </c>
      <c r="P10" s="35"/>
      <c r="Q10" s="35"/>
      <c r="R10" s="35">
        <v>0</v>
      </c>
      <c r="S10" s="220"/>
      <c r="T10" s="30"/>
      <c r="U10" s="30">
        <v>0</v>
      </c>
      <c r="V10" s="30"/>
      <c r="W10" s="31">
        <f t="shared" ref="W10:W73" si="0">L10+N10+P10+S10+U10</f>
        <v>0</v>
      </c>
      <c r="X10" s="32"/>
      <c r="Y10" s="32"/>
      <c r="Z10" s="33">
        <f t="shared" ref="Z10:Z73" si="1">M10+O10+Q10+T10+V10</f>
        <v>8893.2000000000007</v>
      </c>
      <c r="AA10" s="33">
        <f t="shared" ref="AA10:AA73" si="2">J10-W10</f>
        <v>0</v>
      </c>
      <c r="AB10" s="261"/>
      <c r="AC10" s="261"/>
      <c r="AD10" s="261"/>
      <c r="AE10" s="261"/>
      <c r="AF10" s="34" t="s">
        <v>32</v>
      </c>
    </row>
    <row r="11" spans="1:32" ht="15" customHeight="1" x14ac:dyDescent="0.35">
      <c r="A11" s="264"/>
      <c r="B11" s="272"/>
      <c r="C11" s="272"/>
      <c r="D11" s="25" t="s">
        <v>33</v>
      </c>
      <c r="E11" s="25" t="s">
        <v>34</v>
      </c>
      <c r="F11" s="26" t="s">
        <v>28</v>
      </c>
      <c r="G11" s="27" t="s">
        <v>29</v>
      </c>
      <c r="H11" s="27">
        <v>20</v>
      </c>
      <c r="I11" s="35">
        <v>500</v>
      </c>
      <c r="J11" s="35">
        <v>0</v>
      </c>
      <c r="K11" s="35">
        <v>10000</v>
      </c>
      <c r="L11" s="35"/>
      <c r="M11" s="35"/>
      <c r="N11" s="35"/>
      <c r="O11" s="35">
        <v>0</v>
      </c>
      <c r="P11" s="35"/>
      <c r="Q11" s="35"/>
      <c r="R11" s="35">
        <v>0</v>
      </c>
      <c r="S11" s="36"/>
      <c r="T11" s="30">
        <v>10000</v>
      </c>
      <c r="U11" s="30">
        <v>0</v>
      </c>
      <c r="V11" s="30"/>
      <c r="W11" s="31">
        <f t="shared" si="0"/>
        <v>0</v>
      </c>
      <c r="X11" s="32"/>
      <c r="Y11" s="32"/>
      <c r="Z11" s="33">
        <f t="shared" si="1"/>
        <v>10000</v>
      </c>
      <c r="AA11" s="33">
        <f t="shared" si="2"/>
        <v>0</v>
      </c>
      <c r="AB11" s="261"/>
      <c r="AC11" s="261"/>
      <c r="AD11" s="261"/>
      <c r="AE11" s="261"/>
      <c r="AF11" s="34" t="s">
        <v>35</v>
      </c>
    </row>
    <row r="12" spans="1:32" ht="15" customHeight="1" x14ac:dyDescent="0.35">
      <c r="A12" s="264"/>
      <c r="B12" s="272"/>
      <c r="C12" s="272"/>
      <c r="D12" s="25" t="s">
        <v>17</v>
      </c>
      <c r="E12" s="25" t="s">
        <v>27</v>
      </c>
      <c r="F12" s="26" t="s">
        <v>36</v>
      </c>
      <c r="G12" s="27" t="s">
        <v>37</v>
      </c>
      <c r="H12" s="27">
        <v>4</v>
      </c>
      <c r="I12" s="35">
        <v>3500</v>
      </c>
      <c r="J12" s="35">
        <v>14000</v>
      </c>
      <c r="K12" s="35">
        <v>0</v>
      </c>
      <c r="L12" s="35"/>
      <c r="M12" s="35"/>
      <c r="N12" s="35"/>
      <c r="O12" s="35">
        <v>0</v>
      </c>
      <c r="P12" s="35"/>
      <c r="Q12" s="35"/>
      <c r="R12" s="35">
        <v>14000</v>
      </c>
      <c r="S12" s="220">
        <v>7000</v>
      </c>
      <c r="T12" s="30"/>
      <c r="U12" s="30">
        <v>7000</v>
      </c>
      <c r="V12" s="30"/>
      <c r="W12" s="31">
        <f t="shared" si="0"/>
        <v>14000</v>
      </c>
      <c r="X12" s="32"/>
      <c r="Y12" s="32"/>
      <c r="Z12" s="33">
        <f t="shared" si="1"/>
        <v>0</v>
      </c>
      <c r="AA12" s="33">
        <f t="shared" si="2"/>
        <v>0</v>
      </c>
      <c r="AB12" s="261"/>
      <c r="AC12" s="261"/>
      <c r="AD12" s="261"/>
      <c r="AE12" s="261"/>
      <c r="AF12" s="34" t="s">
        <v>38</v>
      </c>
    </row>
    <row r="13" spans="1:32" ht="15" customHeight="1" x14ac:dyDescent="0.35">
      <c r="A13" s="264"/>
      <c r="B13" s="272"/>
      <c r="C13" s="272"/>
      <c r="D13" s="25" t="s">
        <v>17</v>
      </c>
      <c r="E13" s="25" t="s">
        <v>27</v>
      </c>
      <c r="F13" s="26" t="s">
        <v>39</v>
      </c>
      <c r="G13" s="27" t="s">
        <v>40</v>
      </c>
      <c r="H13" s="27">
        <v>1</v>
      </c>
      <c r="I13" s="35">
        <v>10150</v>
      </c>
      <c r="J13" s="35">
        <v>10150</v>
      </c>
      <c r="K13" s="35">
        <v>0</v>
      </c>
      <c r="L13" s="35">
        <v>8163.89</v>
      </c>
      <c r="M13" s="35"/>
      <c r="N13" s="35"/>
      <c r="O13" s="35">
        <v>0</v>
      </c>
      <c r="P13" s="35"/>
      <c r="Q13" s="35"/>
      <c r="R13" s="35">
        <v>1986.1099999999997</v>
      </c>
      <c r="S13" s="220">
        <v>1986.11</v>
      </c>
      <c r="T13" s="30"/>
      <c r="U13" s="30">
        <v>0</v>
      </c>
      <c r="V13" s="30"/>
      <c r="W13" s="31">
        <f t="shared" si="0"/>
        <v>10150</v>
      </c>
      <c r="X13" s="32"/>
      <c r="Y13" s="32">
        <v>0</v>
      </c>
      <c r="Z13" s="33">
        <f t="shared" si="1"/>
        <v>0</v>
      </c>
      <c r="AA13" s="33">
        <f t="shared" si="2"/>
        <v>0</v>
      </c>
      <c r="AB13" s="262"/>
      <c r="AC13" s="262"/>
      <c r="AD13" s="261"/>
      <c r="AE13" s="261"/>
      <c r="AF13" s="34" t="s">
        <v>41</v>
      </c>
    </row>
    <row r="14" spans="1:32" s="44" customFormat="1" ht="15" customHeight="1" x14ac:dyDescent="0.35">
      <c r="A14" s="264"/>
      <c r="B14" s="272"/>
      <c r="C14" s="39"/>
      <c r="D14" s="39"/>
      <c r="E14" s="39"/>
      <c r="F14" s="40"/>
      <c r="G14" s="41"/>
      <c r="H14" s="41"/>
      <c r="I14" s="42"/>
      <c r="J14" s="42">
        <f>SUM(J9:J13)</f>
        <v>139400</v>
      </c>
      <c r="K14" s="42">
        <f t="shared" ref="K14" si="3">SUM(K9:K13)</f>
        <v>33200</v>
      </c>
      <c r="L14" s="42">
        <f>SUM(L9:L13)</f>
        <v>75738.289999999994</v>
      </c>
      <c r="M14" s="42"/>
      <c r="N14" s="42">
        <f t="shared" ref="N14:S14" si="4">SUM(N9:N13)</f>
        <v>13231.02</v>
      </c>
      <c r="O14" s="42">
        <f t="shared" si="4"/>
        <v>8893.2000000000007</v>
      </c>
      <c r="P14" s="42">
        <f t="shared" si="4"/>
        <v>0</v>
      </c>
      <c r="Q14" s="42">
        <f t="shared" si="4"/>
        <v>0</v>
      </c>
      <c r="R14" s="42">
        <f t="shared" si="4"/>
        <v>50430.69</v>
      </c>
      <c r="S14" s="42">
        <f t="shared" si="4"/>
        <v>43430.69</v>
      </c>
      <c r="T14" s="42"/>
      <c r="U14" s="42">
        <f>SUM(U9:U13)</f>
        <v>7000</v>
      </c>
      <c r="V14" s="42">
        <f t="shared" ref="V14:AC14" si="5">SUM(V9:V13)</f>
        <v>0</v>
      </c>
      <c r="W14" s="42">
        <f t="shared" si="5"/>
        <v>139400</v>
      </c>
      <c r="X14" s="42" t="e">
        <f t="shared" si="5"/>
        <v>#REF!</v>
      </c>
      <c r="Y14" s="42">
        <f t="shared" si="5"/>
        <v>0</v>
      </c>
      <c r="Z14" s="42">
        <f t="shared" si="5"/>
        <v>18893.2</v>
      </c>
      <c r="AA14" s="42">
        <f t="shared" si="5"/>
        <v>0</v>
      </c>
      <c r="AB14" s="42">
        <f t="shared" si="5"/>
        <v>139400</v>
      </c>
      <c r="AC14" s="42">
        <f t="shared" si="5"/>
        <v>18893.2</v>
      </c>
      <c r="AD14" s="261"/>
      <c r="AE14" s="261"/>
      <c r="AF14" s="43"/>
    </row>
    <row r="15" spans="1:32" ht="15" customHeight="1" x14ac:dyDescent="0.35">
      <c r="A15" s="264"/>
      <c r="B15" s="272"/>
      <c r="C15" s="272" t="s">
        <v>42</v>
      </c>
      <c r="D15" s="25" t="s">
        <v>17</v>
      </c>
      <c r="E15" s="25" t="s">
        <v>34</v>
      </c>
      <c r="F15" s="26" t="s">
        <v>43</v>
      </c>
      <c r="G15" s="27" t="s">
        <v>44</v>
      </c>
      <c r="H15" s="27">
        <v>4.5</v>
      </c>
      <c r="I15" s="45">
        <v>16640</v>
      </c>
      <c r="J15" s="45">
        <v>82738</v>
      </c>
      <c r="K15" s="45">
        <v>0</v>
      </c>
      <c r="L15" s="45">
        <v>12723.91</v>
      </c>
      <c r="M15" s="45"/>
      <c r="N15" s="45">
        <v>14077.54</v>
      </c>
      <c r="O15" s="45">
        <v>0</v>
      </c>
      <c r="P15" s="45">
        <v>14122.79</v>
      </c>
      <c r="Q15" s="45"/>
      <c r="R15" s="45">
        <v>41813.759999999995</v>
      </c>
      <c r="S15" s="46">
        <v>14000</v>
      </c>
      <c r="T15" s="46"/>
      <c r="U15" s="46">
        <v>16000</v>
      </c>
      <c r="V15" s="47"/>
      <c r="W15" s="31">
        <f t="shared" si="0"/>
        <v>70924.240000000005</v>
      </c>
      <c r="X15" s="32" t="e">
        <f>#REF!-W15</f>
        <v>#REF!</v>
      </c>
      <c r="Y15" s="32" t="e">
        <f>#REF!-W15</f>
        <v>#REF!</v>
      </c>
      <c r="Z15" s="33">
        <f t="shared" si="1"/>
        <v>0</v>
      </c>
      <c r="AA15" s="33">
        <f t="shared" si="2"/>
        <v>11813.759999999995</v>
      </c>
      <c r="AB15" s="260">
        <f>SUM(W15:W33)</f>
        <v>380004.00000000006</v>
      </c>
      <c r="AC15" s="260">
        <f>SUM(Z15:Z33)</f>
        <v>20893.2</v>
      </c>
      <c r="AD15" s="261"/>
      <c r="AE15" s="261"/>
      <c r="AF15" s="34" t="s">
        <v>45</v>
      </c>
    </row>
    <row r="16" spans="1:32" ht="15" customHeight="1" x14ac:dyDescent="0.35">
      <c r="A16" s="264"/>
      <c r="B16" s="272"/>
      <c r="C16" s="272"/>
      <c r="D16" s="25" t="s">
        <v>17</v>
      </c>
      <c r="E16" s="25" t="s">
        <v>34</v>
      </c>
      <c r="F16" s="26" t="s">
        <v>46</v>
      </c>
      <c r="G16" s="27" t="s">
        <v>44</v>
      </c>
      <c r="H16" s="27">
        <v>4.5</v>
      </c>
      <c r="I16" s="45">
        <v>16640</v>
      </c>
      <c r="J16" s="45">
        <v>82738</v>
      </c>
      <c r="K16" s="45">
        <v>0</v>
      </c>
      <c r="L16" s="45">
        <v>12723.91</v>
      </c>
      <c r="M16" s="45"/>
      <c r="N16" s="45">
        <v>14077.54</v>
      </c>
      <c r="O16" s="45">
        <v>0</v>
      </c>
      <c r="P16" s="45">
        <v>14077.54</v>
      </c>
      <c r="Q16" s="45"/>
      <c r="R16" s="45">
        <v>41859.009999999995</v>
      </c>
      <c r="S16" s="46">
        <v>14000</v>
      </c>
      <c r="T16" s="46"/>
      <c r="U16" s="46">
        <v>16000</v>
      </c>
      <c r="V16" s="47"/>
      <c r="W16" s="31">
        <f t="shared" si="0"/>
        <v>70878.990000000005</v>
      </c>
      <c r="X16" s="32" t="e">
        <f>#REF!-W16</f>
        <v>#REF!</v>
      </c>
      <c r="Y16" s="32" t="e">
        <f>#REF!-W16</f>
        <v>#REF!</v>
      </c>
      <c r="Z16" s="33">
        <f t="shared" si="1"/>
        <v>0</v>
      </c>
      <c r="AA16" s="33">
        <f t="shared" si="2"/>
        <v>11859.009999999995</v>
      </c>
      <c r="AB16" s="261"/>
      <c r="AC16" s="261"/>
      <c r="AD16" s="261"/>
      <c r="AE16" s="261"/>
      <c r="AF16" s="34" t="s">
        <v>47</v>
      </c>
    </row>
    <row r="17" spans="1:32" ht="15" customHeight="1" x14ac:dyDescent="0.35">
      <c r="A17" s="264"/>
      <c r="B17" s="272"/>
      <c r="C17" s="272"/>
      <c r="D17" s="25" t="s">
        <v>17</v>
      </c>
      <c r="E17" s="25" t="s">
        <v>34</v>
      </c>
      <c r="F17" s="26" t="s">
        <v>46</v>
      </c>
      <c r="G17" s="27" t="s">
        <v>44</v>
      </c>
      <c r="H17" s="27">
        <v>4.5</v>
      </c>
      <c r="I17" s="45">
        <v>16640</v>
      </c>
      <c r="J17" s="45">
        <v>82738</v>
      </c>
      <c r="K17" s="45">
        <v>0</v>
      </c>
      <c r="L17" s="45">
        <v>12723.91</v>
      </c>
      <c r="M17" s="45"/>
      <c r="N17" s="45">
        <v>14077.54</v>
      </c>
      <c r="O17" s="45">
        <v>0</v>
      </c>
      <c r="P17" s="45">
        <v>14077.52</v>
      </c>
      <c r="Q17" s="45"/>
      <c r="R17" s="45">
        <v>41859.03</v>
      </c>
      <c r="S17" s="46">
        <v>14000</v>
      </c>
      <c r="T17" s="46"/>
      <c r="U17" s="46">
        <v>16000</v>
      </c>
      <c r="V17" s="47"/>
      <c r="W17" s="31">
        <f t="shared" si="0"/>
        <v>70878.97</v>
      </c>
      <c r="X17" s="32" t="e">
        <f>#REF!-W17</f>
        <v>#REF!</v>
      </c>
      <c r="Y17" s="32" t="e">
        <f>#REF!-W17</f>
        <v>#REF!</v>
      </c>
      <c r="Z17" s="33">
        <f t="shared" si="1"/>
        <v>0</v>
      </c>
      <c r="AA17" s="33">
        <f t="shared" si="2"/>
        <v>11859.029999999999</v>
      </c>
      <c r="AB17" s="261"/>
      <c r="AC17" s="261"/>
      <c r="AD17" s="261"/>
      <c r="AE17" s="261"/>
      <c r="AF17" s="34" t="s">
        <v>48</v>
      </c>
    </row>
    <row r="18" spans="1:32" ht="15" customHeight="1" x14ac:dyDescent="0.35">
      <c r="A18" s="264"/>
      <c r="B18" s="272"/>
      <c r="C18" s="272"/>
      <c r="D18" s="25" t="s">
        <v>17</v>
      </c>
      <c r="E18" s="25" t="s">
        <v>34</v>
      </c>
      <c r="F18" s="26" t="s">
        <v>28</v>
      </c>
      <c r="G18" s="27" t="s">
        <v>44</v>
      </c>
      <c r="H18" s="27">
        <v>3</v>
      </c>
      <c r="I18" s="45">
        <f>I17/2</f>
        <v>8320</v>
      </c>
      <c r="J18" s="45">
        <v>24960</v>
      </c>
      <c r="K18" s="45">
        <v>0</v>
      </c>
      <c r="L18" s="45"/>
      <c r="M18" s="45"/>
      <c r="N18" s="45"/>
      <c r="O18" s="45">
        <v>0</v>
      </c>
      <c r="P18" s="45">
        <v>7580.21</v>
      </c>
      <c r="Q18" s="45"/>
      <c r="R18" s="45">
        <v>17379.79</v>
      </c>
      <c r="S18" s="46">
        <f>17379.79+40000</f>
        <v>57379.79</v>
      </c>
      <c r="T18" s="46">
        <v>0</v>
      </c>
      <c r="U18" s="46">
        <v>14000</v>
      </c>
      <c r="V18" s="48"/>
      <c r="W18" s="31">
        <f t="shared" si="0"/>
        <v>78960</v>
      </c>
      <c r="X18" s="32" t="e">
        <f>#REF!-W18</f>
        <v>#REF!</v>
      </c>
      <c r="Y18" s="32" t="e">
        <f>#REF!-W18</f>
        <v>#REF!</v>
      </c>
      <c r="Z18" s="33">
        <f t="shared" si="1"/>
        <v>0</v>
      </c>
      <c r="AA18" s="33">
        <f t="shared" si="2"/>
        <v>-54000</v>
      </c>
      <c r="AB18" s="261"/>
      <c r="AC18" s="261"/>
      <c r="AD18" s="261"/>
      <c r="AE18" s="261"/>
      <c r="AF18" s="34" t="s">
        <v>49</v>
      </c>
    </row>
    <row r="19" spans="1:32" ht="15" customHeight="1" x14ac:dyDescent="0.35">
      <c r="A19" s="264"/>
      <c r="B19" s="272"/>
      <c r="C19" s="272"/>
      <c r="D19" s="25" t="s">
        <v>33</v>
      </c>
      <c r="E19" s="25" t="s">
        <v>34</v>
      </c>
      <c r="F19" s="26" t="s">
        <v>28</v>
      </c>
      <c r="G19" s="27" t="s">
        <v>44</v>
      </c>
      <c r="H19" s="27">
        <v>4</v>
      </c>
      <c r="I19" s="45">
        <v>3000</v>
      </c>
      <c r="J19" s="45">
        <v>0</v>
      </c>
      <c r="K19" s="45">
        <v>12000</v>
      </c>
      <c r="L19" s="45"/>
      <c r="M19" s="45"/>
      <c r="N19" s="45"/>
      <c r="O19" s="45">
        <v>0</v>
      </c>
      <c r="P19" s="45">
        <v>0</v>
      </c>
      <c r="Q19" s="45"/>
      <c r="R19" s="45">
        <v>0</v>
      </c>
      <c r="S19" s="46"/>
      <c r="T19" s="46">
        <v>6000</v>
      </c>
      <c r="U19" s="46"/>
      <c r="V19" s="47">
        <v>6000</v>
      </c>
      <c r="W19" s="31">
        <f t="shared" si="0"/>
        <v>0</v>
      </c>
      <c r="X19" s="32" t="e">
        <f>#REF!-W19</f>
        <v>#REF!</v>
      </c>
      <c r="Y19" s="32" t="e">
        <f>#REF!-W19</f>
        <v>#REF!</v>
      </c>
      <c r="Z19" s="33">
        <f t="shared" si="1"/>
        <v>12000</v>
      </c>
      <c r="AA19" s="33">
        <f t="shared" si="2"/>
        <v>0</v>
      </c>
      <c r="AB19" s="261"/>
      <c r="AC19" s="261"/>
      <c r="AD19" s="261"/>
      <c r="AE19" s="261"/>
      <c r="AF19" s="34" t="s">
        <v>50</v>
      </c>
    </row>
    <row r="20" spans="1:32" ht="15" customHeight="1" x14ac:dyDescent="0.35">
      <c r="A20" s="264"/>
      <c r="B20" s="272"/>
      <c r="C20" s="272"/>
      <c r="D20" s="25" t="s">
        <v>17</v>
      </c>
      <c r="E20" s="25" t="s">
        <v>27</v>
      </c>
      <c r="F20" s="26" t="s">
        <v>28</v>
      </c>
      <c r="G20" s="27" t="s">
        <v>29</v>
      </c>
      <c r="H20" s="27">
        <v>10.6</v>
      </c>
      <c r="I20" s="45">
        <v>2866.6666</v>
      </c>
      <c r="J20" s="45">
        <v>30499.999599999999</v>
      </c>
      <c r="K20" s="45">
        <v>0</v>
      </c>
      <c r="L20" s="45">
        <v>15176.1</v>
      </c>
      <c r="M20" s="45"/>
      <c r="N20" s="45">
        <v>8361.5300000000007</v>
      </c>
      <c r="O20" s="45">
        <v>0</v>
      </c>
      <c r="P20" s="45">
        <v>0</v>
      </c>
      <c r="Q20" s="45"/>
      <c r="R20" s="45">
        <v>6962.3695999999982</v>
      </c>
      <c r="S20" s="221">
        <v>6962.37</v>
      </c>
      <c r="T20" s="46"/>
      <c r="U20" s="46"/>
      <c r="V20" s="47"/>
      <c r="W20" s="31">
        <f t="shared" si="0"/>
        <v>30500</v>
      </c>
      <c r="X20" s="32" t="e">
        <f>#REF!-W20</f>
        <v>#REF!</v>
      </c>
      <c r="Y20" s="32" t="e">
        <f>#REF!-W20</f>
        <v>#REF!</v>
      </c>
      <c r="Z20" s="33">
        <f t="shared" si="1"/>
        <v>0</v>
      </c>
      <c r="AA20" s="33">
        <f t="shared" si="2"/>
        <v>-4.0000000080908649E-4</v>
      </c>
      <c r="AB20" s="261"/>
      <c r="AC20" s="261"/>
      <c r="AD20" s="261"/>
      <c r="AE20" s="261"/>
      <c r="AF20" s="34" t="s">
        <v>51</v>
      </c>
    </row>
    <row r="21" spans="1:32" ht="15" customHeight="1" x14ac:dyDescent="0.35">
      <c r="A21" s="264"/>
      <c r="B21" s="272"/>
      <c r="C21" s="272"/>
      <c r="D21" s="25" t="s">
        <v>31</v>
      </c>
      <c r="E21" s="25" t="s">
        <v>27</v>
      </c>
      <c r="F21" s="26" t="s">
        <v>28</v>
      </c>
      <c r="G21" s="27" t="s">
        <v>29</v>
      </c>
      <c r="H21" s="27">
        <v>10</v>
      </c>
      <c r="I21" s="45">
        <f>6000/10</f>
        <v>600</v>
      </c>
      <c r="J21" s="45">
        <v>0</v>
      </c>
      <c r="K21" s="45">
        <v>6000</v>
      </c>
      <c r="L21" s="45"/>
      <c r="M21" s="45"/>
      <c r="N21" s="45"/>
      <c r="O21" s="45">
        <v>8893.2000000000007</v>
      </c>
      <c r="P21" s="45">
        <v>0</v>
      </c>
      <c r="Q21" s="45"/>
      <c r="R21" s="45">
        <v>0</v>
      </c>
      <c r="S21" s="221"/>
      <c r="T21" s="46"/>
      <c r="U21" s="46"/>
      <c r="V21" s="47"/>
      <c r="W21" s="31">
        <f t="shared" si="0"/>
        <v>0</v>
      </c>
      <c r="X21" s="32" t="e">
        <f>#REF!-W21</f>
        <v>#REF!</v>
      </c>
      <c r="Y21" s="32" t="e">
        <f>#REF!-W21</f>
        <v>#REF!</v>
      </c>
      <c r="Z21" s="33">
        <f t="shared" si="1"/>
        <v>8893.2000000000007</v>
      </c>
      <c r="AA21" s="33">
        <f t="shared" si="2"/>
        <v>0</v>
      </c>
      <c r="AB21" s="261"/>
      <c r="AC21" s="261"/>
      <c r="AD21" s="261"/>
      <c r="AE21" s="261"/>
      <c r="AF21" s="34" t="s">
        <v>52</v>
      </c>
    </row>
    <row r="22" spans="1:32" ht="15" customHeight="1" x14ac:dyDescent="0.35">
      <c r="A22" s="264"/>
      <c r="B22" s="272"/>
      <c r="C22" s="272"/>
      <c r="D22" s="25" t="s">
        <v>17</v>
      </c>
      <c r="E22" s="25" t="s">
        <v>27</v>
      </c>
      <c r="F22" s="26" t="s">
        <v>53</v>
      </c>
      <c r="G22" s="27" t="s">
        <v>29</v>
      </c>
      <c r="H22" s="27">
        <v>6</v>
      </c>
      <c r="I22" s="45">
        <v>4000</v>
      </c>
      <c r="J22" s="45">
        <v>24000</v>
      </c>
      <c r="K22" s="45">
        <v>0</v>
      </c>
      <c r="L22" s="45"/>
      <c r="M22" s="45"/>
      <c r="N22" s="45"/>
      <c r="O22" s="45"/>
      <c r="P22" s="45">
        <v>0</v>
      </c>
      <c r="Q22" s="45"/>
      <c r="R22" s="45">
        <v>24000</v>
      </c>
      <c r="S22" s="221">
        <v>0</v>
      </c>
      <c r="T22" s="46">
        <v>0</v>
      </c>
      <c r="U22" s="46"/>
      <c r="V22" s="47"/>
      <c r="W22" s="31">
        <f t="shared" si="0"/>
        <v>0</v>
      </c>
      <c r="X22" s="32" t="e">
        <f>#REF!-W22</f>
        <v>#REF!</v>
      </c>
      <c r="Y22" s="32" t="e">
        <f>#REF!-W22</f>
        <v>#REF!</v>
      </c>
      <c r="Z22" s="33">
        <f t="shared" si="1"/>
        <v>0</v>
      </c>
      <c r="AA22" s="33">
        <f t="shared" si="2"/>
        <v>24000</v>
      </c>
      <c r="AB22" s="261"/>
      <c r="AC22" s="261"/>
      <c r="AD22" s="261"/>
      <c r="AE22" s="261"/>
      <c r="AF22" s="34" t="s">
        <v>54</v>
      </c>
    </row>
    <row r="23" spans="1:32" ht="15" customHeight="1" x14ac:dyDescent="0.35">
      <c r="A23" s="264"/>
      <c r="B23" s="272"/>
      <c r="C23" s="272"/>
      <c r="D23" s="25" t="s">
        <v>17</v>
      </c>
      <c r="E23" s="25" t="s">
        <v>27</v>
      </c>
      <c r="F23" s="26" t="s">
        <v>36</v>
      </c>
      <c r="G23" s="27" t="s">
        <v>55</v>
      </c>
      <c r="H23" s="27">
        <v>2</v>
      </c>
      <c r="I23" s="45">
        <v>3500</v>
      </c>
      <c r="J23" s="45">
        <v>7000</v>
      </c>
      <c r="K23" s="45">
        <v>0</v>
      </c>
      <c r="L23" s="45"/>
      <c r="M23" s="45"/>
      <c r="N23" s="45"/>
      <c r="O23" s="45"/>
      <c r="P23" s="45">
        <v>0</v>
      </c>
      <c r="Q23" s="45"/>
      <c r="R23" s="45">
        <v>7000</v>
      </c>
      <c r="S23" s="221">
        <v>7000</v>
      </c>
      <c r="T23" s="46"/>
      <c r="U23" s="46"/>
      <c r="V23" s="47"/>
      <c r="W23" s="31">
        <f t="shared" si="0"/>
        <v>7000</v>
      </c>
      <c r="X23" s="32" t="e">
        <f>#REF!-W23</f>
        <v>#REF!</v>
      </c>
      <c r="Y23" s="32" t="e">
        <f>#REF!-W23</f>
        <v>#REF!</v>
      </c>
      <c r="Z23" s="33">
        <f t="shared" si="1"/>
        <v>0</v>
      </c>
      <c r="AA23" s="33">
        <f t="shared" si="2"/>
        <v>0</v>
      </c>
      <c r="AB23" s="261"/>
      <c r="AC23" s="261"/>
      <c r="AD23" s="261"/>
      <c r="AE23" s="261"/>
      <c r="AF23" s="34" t="s">
        <v>56</v>
      </c>
    </row>
    <row r="24" spans="1:32" ht="15" customHeight="1" x14ac:dyDescent="0.35">
      <c r="A24" s="264"/>
      <c r="B24" s="272"/>
      <c r="C24" s="272"/>
      <c r="D24" s="25" t="s">
        <v>17</v>
      </c>
      <c r="E24" s="25" t="s">
        <v>34</v>
      </c>
      <c r="F24" s="26" t="s">
        <v>57</v>
      </c>
      <c r="G24" s="27" t="s">
        <v>58</v>
      </c>
      <c r="H24" s="27">
        <v>15</v>
      </c>
      <c r="I24" s="45">
        <v>500</v>
      </c>
      <c r="J24" s="45">
        <v>7500</v>
      </c>
      <c r="K24" s="45">
        <v>0</v>
      </c>
      <c r="L24" s="45"/>
      <c r="M24" s="45"/>
      <c r="N24" s="45"/>
      <c r="O24" s="45"/>
      <c r="P24" s="45">
        <v>0</v>
      </c>
      <c r="Q24" s="45"/>
      <c r="R24" s="45">
        <v>7500</v>
      </c>
      <c r="S24" s="46">
        <v>0</v>
      </c>
      <c r="T24" s="46"/>
      <c r="U24" s="46"/>
      <c r="V24" s="47"/>
      <c r="W24" s="31">
        <f t="shared" si="0"/>
        <v>0</v>
      </c>
      <c r="X24" s="32" t="e">
        <f>#REF!-W24</f>
        <v>#REF!</v>
      </c>
      <c r="Y24" s="32" t="e">
        <f>#REF!-W24</f>
        <v>#REF!</v>
      </c>
      <c r="Z24" s="33">
        <f t="shared" si="1"/>
        <v>0</v>
      </c>
      <c r="AA24" s="33">
        <f t="shared" si="2"/>
        <v>7500</v>
      </c>
      <c r="AB24" s="261"/>
      <c r="AC24" s="261"/>
      <c r="AD24" s="261"/>
      <c r="AE24" s="261"/>
      <c r="AF24" s="34" t="s">
        <v>59</v>
      </c>
    </row>
    <row r="25" spans="1:32" ht="15" customHeight="1" x14ac:dyDescent="0.35">
      <c r="A25" s="264"/>
      <c r="B25" s="272"/>
      <c r="C25" s="272"/>
      <c r="D25" s="25" t="s">
        <v>17</v>
      </c>
      <c r="E25" s="25" t="s">
        <v>34</v>
      </c>
      <c r="F25" s="26" t="s">
        <v>36</v>
      </c>
      <c r="G25" s="27" t="s">
        <v>55</v>
      </c>
      <c r="H25" s="27">
        <v>2</v>
      </c>
      <c r="I25" s="45">
        <v>3500</v>
      </c>
      <c r="J25" s="45">
        <v>7000</v>
      </c>
      <c r="K25" s="45">
        <v>0</v>
      </c>
      <c r="L25" s="45"/>
      <c r="M25" s="45"/>
      <c r="N25" s="45"/>
      <c r="O25" s="45"/>
      <c r="P25" s="45">
        <v>0</v>
      </c>
      <c r="Q25" s="45"/>
      <c r="R25" s="45">
        <v>7000</v>
      </c>
      <c r="S25" s="46">
        <v>0</v>
      </c>
      <c r="T25" s="46"/>
      <c r="U25" s="46"/>
      <c r="V25" s="47"/>
      <c r="W25" s="31">
        <f t="shared" si="0"/>
        <v>0</v>
      </c>
      <c r="X25" s="32" t="e">
        <f>#REF!-W25</f>
        <v>#REF!</v>
      </c>
      <c r="Y25" s="32" t="e">
        <f>#REF!-W25</f>
        <v>#REF!</v>
      </c>
      <c r="Z25" s="33">
        <f t="shared" si="1"/>
        <v>0</v>
      </c>
      <c r="AA25" s="33">
        <f t="shared" si="2"/>
        <v>7000</v>
      </c>
      <c r="AB25" s="261"/>
      <c r="AC25" s="261"/>
      <c r="AD25" s="261"/>
      <c r="AE25" s="261"/>
      <c r="AF25" s="34" t="s">
        <v>60</v>
      </c>
    </row>
    <row r="26" spans="1:32" ht="15" customHeight="1" x14ac:dyDescent="0.35">
      <c r="A26" s="264"/>
      <c r="B26" s="272"/>
      <c r="C26" s="272"/>
      <c r="D26" s="25" t="s">
        <v>17</v>
      </c>
      <c r="E26" s="25" t="s">
        <v>34</v>
      </c>
      <c r="F26" s="26" t="s">
        <v>61</v>
      </c>
      <c r="G26" s="27" t="s">
        <v>62</v>
      </c>
      <c r="H26" s="27">
        <v>2</v>
      </c>
      <c r="I26" s="35">
        <v>9950</v>
      </c>
      <c r="J26" s="35">
        <v>19900</v>
      </c>
      <c r="K26" s="35">
        <v>0</v>
      </c>
      <c r="L26" s="35"/>
      <c r="M26" s="35"/>
      <c r="N26" s="35"/>
      <c r="O26" s="35"/>
      <c r="P26" s="35">
        <v>23220.61</v>
      </c>
      <c r="Q26" s="35"/>
      <c r="R26" s="35">
        <v>-3320.6100000000006</v>
      </c>
      <c r="S26" s="46">
        <v>0</v>
      </c>
      <c r="T26" s="46"/>
      <c r="U26" s="46">
        <v>0</v>
      </c>
      <c r="V26" s="47"/>
      <c r="W26" s="31">
        <f t="shared" si="0"/>
        <v>23220.61</v>
      </c>
      <c r="X26" s="32" t="e">
        <f>#REF!-W26</f>
        <v>#REF!</v>
      </c>
      <c r="Y26" s="32" t="e">
        <f>#REF!-W26</f>
        <v>#REF!</v>
      </c>
      <c r="Z26" s="33">
        <f t="shared" si="1"/>
        <v>0</v>
      </c>
      <c r="AA26" s="33">
        <f t="shared" si="2"/>
        <v>-3320.6100000000006</v>
      </c>
      <c r="AB26" s="261"/>
      <c r="AC26" s="261"/>
      <c r="AD26" s="261"/>
      <c r="AE26" s="261"/>
      <c r="AF26" s="34" t="s">
        <v>63</v>
      </c>
    </row>
    <row r="27" spans="1:32" ht="15" customHeight="1" x14ac:dyDescent="0.35">
      <c r="A27" s="264"/>
      <c r="B27" s="272"/>
      <c r="C27" s="272"/>
      <c r="D27" s="25" t="s">
        <v>17</v>
      </c>
      <c r="E27" s="25" t="s">
        <v>34</v>
      </c>
      <c r="F27" s="26" t="s">
        <v>64</v>
      </c>
      <c r="G27" s="27" t="s">
        <v>62</v>
      </c>
      <c r="H27" s="27">
        <v>1</v>
      </c>
      <c r="I27" s="35">
        <v>710</v>
      </c>
      <c r="J27" s="35">
        <v>710</v>
      </c>
      <c r="K27" s="35">
        <v>0</v>
      </c>
      <c r="L27" s="35"/>
      <c r="M27" s="35"/>
      <c r="N27" s="35"/>
      <c r="O27" s="35"/>
      <c r="P27" s="35">
        <v>493.32</v>
      </c>
      <c r="Q27" s="35"/>
      <c r="R27" s="35">
        <v>216.68</v>
      </c>
      <c r="S27" s="46">
        <v>216.68</v>
      </c>
      <c r="T27" s="46"/>
      <c r="U27" s="46"/>
      <c r="V27" s="47"/>
      <c r="W27" s="31">
        <f t="shared" si="0"/>
        <v>710</v>
      </c>
      <c r="X27" s="32" t="e">
        <f>#REF!-W27</f>
        <v>#REF!</v>
      </c>
      <c r="Y27" s="32" t="e">
        <f>#REF!-W27</f>
        <v>#REF!</v>
      </c>
      <c r="Z27" s="33">
        <f t="shared" si="1"/>
        <v>0</v>
      </c>
      <c r="AA27" s="33">
        <f t="shared" si="2"/>
        <v>0</v>
      </c>
      <c r="AB27" s="261"/>
      <c r="AC27" s="261"/>
      <c r="AD27" s="261"/>
      <c r="AE27" s="261"/>
      <c r="AF27" s="34" t="s">
        <v>65</v>
      </c>
    </row>
    <row r="28" spans="1:32" ht="15" customHeight="1" x14ac:dyDescent="0.35">
      <c r="A28" s="264"/>
      <c r="B28" s="272"/>
      <c r="C28" s="272"/>
      <c r="D28" s="25" t="s">
        <v>17</v>
      </c>
      <c r="E28" s="25" t="s">
        <v>34</v>
      </c>
      <c r="F28" s="26" t="s">
        <v>66</v>
      </c>
      <c r="G28" s="27" t="s">
        <v>62</v>
      </c>
      <c r="H28" s="27">
        <v>160</v>
      </c>
      <c r="I28" s="35">
        <v>17</v>
      </c>
      <c r="J28" s="35">
        <v>2720</v>
      </c>
      <c r="K28" s="35">
        <v>0</v>
      </c>
      <c r="L28" s="35"/>
      <c r="M28" s="35"/>
      <c r="N28" s="35"/>
      <c r="O28" s="35"/>
      <c r="P28" s="35">
        <v>756.65</v>
      </c>
      <c r="Q28" s="35"/>
      <c r="R28" s="35">
        <v>1963.35</v>
      </c>
      <c r="S28" s="46">
        <f>1963.35+3196.58</f>
        <v>5159.93</v>
      </c>
      <c r="T28" s="46"/>
      <c r="U28" s="46">
        <v>2000</v>
      </c>
      <c r="V28" s="48"/>
      <c r="W28" s="31">
        <f t="shared" si="0"/>
        <v>7916.58</v>
      </c>
      <c r="X28" s="32" t="e">
        <f>#REF!-W28</f>
        <v>#REF!</v>
      </c>
      <c r="Y28" s="32" t="e">
        <f>#REF!-W28</f>
        <v>#REF!</v>
      </c>
      <c r="Z28" s="33">
        <f t="shared" si="1"/>
        <v>0</v>
      </c>
      <c r="AA28" s="33">
        <f t="shared" si="2"/>
        <v>-5196.58</v>
      </c>
      <c r="AB28" s="261"/>
      <c r="AC28" s="261"/>
      <c r="AD28" s="261"/>
      <c r="AE28" s="261"/>
      <c r="AF28" s="34" t="s">
        <v>67</v>
      </c>
    </row>
    <row r="29" spans="1:32" ht="15" customHeight="1" x14ac:dyDescent="0.35">
      <c r="A29" s="264"/>
      <c r="B29" s="272"/>
      <c r="C29" s="272"/>
      <c r="D29" s="25" t="s">
        <v>17</v>
      </c>
      <c r="E29" s="25" t="s">
        <v>34</v>
      </c>
      <c r="F29" s="26" t="s">
        <v>61</v>
      </c>
      <c r="G29" s="27" t="s">
        <v>62</v>
      </c>
      <c r="H29" s="27">
        <v>1</v>
      </c>
      <c r="I29" s="35">
        <v>1500</v>
      </c>
      <c r="J29" s="35">
        <v>1500</v>
      </c>
      <c r="K29" s="35">
        <v>0</v>
      </c>
      <c r="L29" s="35"/>
      <c r="M29" s="35"/>
      <c r="N29" s="35"/>
      <c r="O29" s="35"/>
      <c r="P29" s="35">
        <v>2267.65</v>
      </c>
      <c r="Q29" s="35"/>
      <c r="R29" s="35">
        <v>-767.65000000000009</v>
      </c>
      <c r="S29" s="46">
        <v>0</v>
      </c>
      <c r="T29" s="46"/>
      <c r="U29" s="46">
        <v>0</v>
      </c>
      <c r="V29" s="47"/>
      <c r="W29" s="31">
        <f t="shared" si="0"/>
        <v>2267.65</v>
      </c>
      <c r="X29" s="32" t="e">
        <f>#REF!-W29</f>
        <v>#REF!</v>
      </c>
      <c r="Y29" s="32" t="e">
        <f>#REF!-W29</f>
        <v>#REF!</v>
      </c>
      <c r="Z29" s="33">
        <f t="shared" si="1"/>
        <v>0</v>
      </c>
      <c r="AA29" s="33">
        <f t="shared" si="2"/>
        <v>-767.65000000000009</v>
      </c>
      <c r="AB29" s="261"/>
      <c r="AC29" s="261"/>
      <c r="AD29" s="261"/>
      <c r="AE29" s="261"/>
      <c r="AF29" s="34" t="s">
        <v>68</v>
      </c>
    </row>
    <row r="30" spans="1:32" ht="15" customHeight="1" x14ac:dyDescent="0.35">
      <c r="A30" s="264"/>
      <c r="B30" s="272"/>
      <c r="C30" s="272"/>
      <c r="D30" s="25" t="s">
        <v>17</v>
      </c>
      <c r="E30" s="25" t="s">
        <v>34</v>
      </c>
      <c r="F30" s="26" t="s">
        <v>69</v>
      </c>
      <c r="G30" s="27"/>
      <c r="H30" s="27"/>
      <c r="I30" s="35"/>
      <c r="J30" s="35">
        <v>0</v>
      </c>
      <c r="K30" s="35">
        <v>0</v>
      </c>
      <c r="L30" s="35"/>
      <c r="M30" s="35"/>
      <c r="N30" s="35">
        <v>3591.21</v>
      </c>
      <c r="O30" s="35"/>
      <c r="P30" s="35">
        <v>1492.26</v>
      </c>
      <c r="Q30" s="35"/>
      <c r="R30" s="35">
        <v>-5083.47</v>
      </c>
      <c r="S30" s="46">
        <v>3531.81</v>
      </c>
      <c r="T30" s="46"/>
      <c r="U30" s="46">
        <v>0</v>
      </c>
      <c r="V30" s="47"/>
      <c r="W30" s="31">
        <f t="shared" si="0"/>
        <v>8615.2800000000007</v>
      </c>
      <c r="X30" s="32" t="e">
        <f>#REF!-W30</f>
        <v>#REF!</v>
      </c>
      <c r="Y30" s="32" t="e">
        <f>#REF!-W30</f>
        <v>#REF!</v>
      </c>
      <c r="Z30" s="33">
        <f t="shared" si="1"/>
        <v>0</v>
      </c>
      <c r="AA30" s="33">
        <f t="shared" si="2"/>
        <v>-8615.2800000000007</v>
      </c>
      <c r="AB30" s="261"/>
      <c r="AC30" s="261"/>
      <c r="AD30" s="261"/>
      <c r="AE30" s="261"/>
      <c r="AF30" s="34"/>
    </row>
    <row r="31" spans="1:32" ht="15" customHeight="1" x14ac:dyDescent="0.35">
      <c r="A31" s="264"/>
      <c r="B31" s="272"/>
      <c r="C31" s="272"/>
      <c r="D31" s="25" t="s">
        <v>17</v>
      </c>
      <c r="E31" s="25" t="s">
        <v>34</v>
      </c>
      <c r="F31" s="26" t="s">
        <v>53</v>
      </c>
      <c r="G31" s="27" t="s">
        <v>62</v>
      </c>
      <c r="H31" s="27">
        <v>1</v>
      </c>
      <c r="I31" s="35">
        <v>1000</v>
      </c>
      <c r="J31" s="35">
        <v>1000</v>
      </c>
      <c r="K31" s="35">
        <v>0</v>
      </c>
      <c r="L31" s="35"/>
      <c r="M31" s="35"/>
      <c r="N31" s="35"/>
      <c r="O31" s="35"/>
      <c r="P31" s="35">
        <v>2344.63</v>
      </c>
      <c r="Q31" s="35"/>
      <c r="R31" s="35">
        <v>-1344.63</v>
      </c>
      <c r="S31" s="46">
        <v>0</v>
      </c>
      <c r="T31" s="46"/>
      <c r="U31" s="46">
        <v>0</v>
      </c>
      <c r="V31" s="47"/>
      <c r="W31" s="31">
        <f t="shared" si="0"/>
        <v>2344.63</v>
      </c>
      <c r="X31" s="32" t="e">
        <f>#REF!-W31</f>
        <v>#REF!</v>
      </c>
      <c r="Y31" s="32" t="e">
        <f>#REF!-W31</f>
        <v>#REF!</v>
      </c>
      <c r="Z31" s="33">
        <f t="shared" si="1"/>
        <v>0</v>
      </c>
      <c r="AA31" s="33">
        <f t="shared" si="2"/>
        <v>-1344.63</v>
      </c>
      <c r="AB31" s="261"/>
      <c r="AC31" s="261"/>
      <c r="AD31" s="261"/>
      <c r="AE31" s="261"/>
      <c r="AF31" s="34" t="s">
        <v>70</v>
      </c>
    </row>
    <row r="32" spans="1:32" ht="15" customHeight="1" x14ac:dyDescent="0.35">
      <c r="A32" s="264"/>
      <c r="B32" s="272"/>
      <c r="C32" s="272"/>
      <c r="D32" s="25" t="s">
        <v>17</v>
      </c>
      <c r="E32" s="25" t="s">
        <v>34</v>
      </c>
      <c r="F32" s="26" t="s">
        <v>71</v>
      </c>
      <c r="G32" s="27" t="s">
        <v>62</v>
      </c>
      <c r="H32" s="27">
        <v>1</v>
      </c>
      <c r="I32" s="35">
        <v>1000</v>
      </c>
      <c r="J32" s="35">
        <v>1000</v>
      </c>
      <c r="K32" s="35">
        <v>0</v>
      </c>
      <c r="L32" s="35"/>
      <c r="M32" s="35"/>
      <c r="N32" s="35"/>
      <c r="O32" s="35"/>
      <c r="P32" s="35">
        <v>0</v>
      </c>
      <c r="Q32" s="35"/>
      <c r="R32" s="35">
        <v>1000</v>
      </c>
      <c r="S32" s="46">
        <v>0</v>
      </c>
      <c r="T32" s="46"/>
      <c r="U32" s="46">
        <v>0</v>
      </c>
      <c r="V32" s="47"/>
      <c r="W32" s="31">
        <f t="shared" si="0"/>
        <v>0</v>
      </c>
      <c r="X32" s="32" t="e">
        <f>#REF!-W32</f>
        <v>#REF!</v>
      </c>
      <c r="Y32" s="32" t="e">
        <f>#REF!-W32</f>
        <v>#REF!</v>
      </c>
      <c r="Z32" s="33">
        <f t="shared" si="1"/>
        <v>0</v>
      </c>
      <c r="AA32" s="33">
        <f t="shared" si="2"/>
        <v>1000</v>
      </c>
      <c r="AB32" s="261"/>
      <c r="AC32" s="261"/>
      <c r="AD32" s="261"/>
      <c r="AE32" s="261"/>
      <c r="AF32" s="34" t="s">
        <v>72</v>
      </c>
    </row>
    <row r="33" spans="1:32" ht="15" customHeight="1" x14ac:dyDescent="0.35">
      <c r="A33" s="264"/>
      <c r="B33" s="272"/>
      <c r="C33" s="272"/>
      <c r="D33" s="25" t="s">
        <v>17</v>
      </c>
      <c r="E33" s="25" t="s">
        <v>34</v>
      </c>
      <c r="F33" s="26" t="s">
        <v>73</v>
      </c>
      <c r="G33" s="27" t="s">
        <v>62</v>
      </c>
      <c r="H33" s="27">
        <v>4</v>
      </c>
      <c r="I33" s="35">
        <v>1000</v>
      </c>
      <c r="J33" s="35">
        <v>4000</v>
      </c>
      <c r="K33" s="35">
        <v>0</v>
      </c>
      <c r="L33" s="35"/>
      <c r="M33" s="35"/>
      <c r="N33" s="35"/>
      <c r="O33" s="35"/>
      <c r="P33" s="35">
        <v>5787.05</v>
      </c>
      <c r="Q33" s="35"/>
      <c r="R33" s="35">
        <v>-1787.0500000000002</v>
      </c>
      <c r="S33" s="46">
        <v>0</v>
      </c>
      <c r="T33" s="46"/>
      <c r="U33" s="46">
        <v>0</v>
      </c>
      <c r="V33" s="47"/>
      <c r="W33" s="31">
        <f t="shared" si="0"/>
        <v>5787.05</v>
      </c>
      <c r="X33" s="32" t="e">
        <f>#REF!-W33</f>
        <v>#REF!</v>
      </c>
      <c r="Y33" s="32" t="e">
        <f>#REF!-W33</f>
        <v>#REF!</v>
      </c>
      <c r="Z33" s="33">
        <f t="shared" si="1"/>
        <v>0</v>
      </c>
      <c r="AA33" s="33">
        <f t="shared" si="2"/>
        <v>-1787.0500000000002</v>
      </c>
      <c r="AB33" s="262"/>
      <c r="AC33" s="262"/>
      <c r="AD33" s="261"/>
      <c r="AE33" s="261"/>
      <c r="AF33" s="34" t="s">
        <v>74</v>
      </c>
    </row>
    <row r="34" spans="1:32" ht="15" customHeight="1" x14ac:dyDescent="0.35">
      <c r="A34" s="264"/>
      <c r="B34" s="272"/>
      <c r="C34" s="39"/>
      <c r="D34" s="39"/>
      <c r="E34" s="39"/>
      <c r="F34" s="40"/>
      <c r="G34" s="41"/>
      <c r="H34" s="41"/>
      <c r="I34" s="42"/>
      <c r="J34" s="42">
        <f>SUM(J15:J33)</f>
        <v>380003.99959999998</v>
      </c>
      <c r="K34" s="42">
        <f t="shared" ref="K34:AC34" si="6">SUM(K15:K33)</f>
        <v>18000</v>
      </c>
      <c r="L34" s="42">
        <f t="shared" si="6"/>
        <v>53347.829999999994</v>
      </c>
      <c r="M34" s="42">
        <f t="shared" si="6"/>
        <v>0</v>
      </c>
      <c r="N34" s="42">
        <f t="shared" si="6"/>
        <v>54185.36</v>
      </c>
      <c r="O34" s="42">
        <f t="shared" si="6"/>
        <v>8893.2000000000007</v>
      </c>
      <c r="P34" s="42">
        <f t="shared" si="6"/>
        <v>86220.23000000001</v>
      </c>
      <c r="Q34" s="42">
        <f t="shared" si="6"/>
        <v>0</v>
      </c>
      <c r="R34" s="42">
        <f t="shared" si="6"/>
        <v>186250.57960000003</v>
      </c>
      <c r="S34" s="42">
        <f t="shared" si="6"/>
        <v>122250.57999999999</v>
      </c>
      <c r="T34" s="42">
        <f t="shared" si="6"/>
        <v>6000</v>
      </c>
      <c r="U34" s="42">
        <f t="shared" si="6"/>
        <v>64000</v>
      </c>
      <c r="V34" s="42">
        <f t="shared" si="6"/>
        <v>6000</v>
      </c>
      <c r="W34" s="42">
        <f t="shared" si="6"/>
        <v>380004.00000000006</v>
      </c>
      <c r="X34" s="42" t="e">
        <f t="shared" si="6"/>
        <v>#REF!</v>
      </c>
      <c r="Y34" s="42" t="e">
        <f t="shared" si="6"/>
        <v>#REF!</v>
      </c>
      <c r="Z34" s="42">
        <f t="shared" si="6"/>
        <v>20893.2</v>
      </c>
      <c r="AA34" s="42">
        <f t="shared" si="6"/>
        <v>-4.0000001354201231E-4</v>
      </c>
      <c r="AB34" s="42">
        <f t="shared" si="6"/>
        <v>380004.00000000006</v>
      </c>
      <c r="AC34" s="42">
        <f t="shared" si="6"/>
        <v>20893.2</v>
      </c>
      <c r="AD34" s="261"/>
      <c r="AE34" s="261"/>
      <c r="AF34" s="49"/>
    </row>
    <row r="35" spans="1:32" ht="15" customHeight="1" x14ac:dyDescent="0.35">
      <c r="A35" s="264"/>
      <c r="B35" s="272"/>
      <c r="C35" s="272" t="s">
        <v>75</v>
      </c>
      <c r="D35" s="25" t="s">
        <v>17</v>
      </c>
      <c r="E35" s="50" t="s">
        <v>27</v>
      </c>
      <c r="F35" s="26" t="s">
        <v>28</v>
      </c>
      <c r="G35" s="27" t="s">
        <v>29</v>
      </c>
      <c r="H35" s="51">
        <v>12</v>
      </c>
      <c r="I35" s="52">
        <v>2520.83</v>
      </c>
      <c r="J35" s="52">
        <v>30250</v>
      </c>
      <c r="K35" s="52">
        <v>0</v>
      </c>
      <c r="L35" s="52"/>
      <c r="M35" s="52"/>
      <c r="N35" s="52"/>
      <c r="O35" s="52"/>
      <c r="P35" s="52"/>
      <c r="Q35" s="52"/>
      <c r="R35" s="52">
        <v>30250</v>
      </c>
      <c r="S35" s="220">
        <v>30250</v>
      </c>
      <c r="T35" s="36"/>
      <c r="U35" s="36"/>
      <c r="V35" s="30"/>
      <c r="W35" s="31">
        <f t="shared" si="0"/>
        <v>30250</v>
      </c>
      <c r="X35" s="32" t="e">
        <f>#REF!-W35</f>
        <v>#REF!</v>
      </c>
      <c r="Y35" s="32"/>
      <c r="Z35" s="33">
        <f t="shared" si="1"/>
        <v>0</v>
      </c>
      <c r="AA35" s="33">
        <f t="shared" si="2"/>
        <v>0</v>
      </c>
      <c r="AB35" s="260">
        <f>SUM(W35:W38)</f>
        <v>33750</v>
      </c>
      <c r="AC35" s="260">
        <f>SUM(Z35:Z38)</f>
        <v>16000</v>
      </c>
      <c r="AD35" s="261"/>
      <c r="AE35" s="261"/>
      <c r="AF35" s="34" t="s">
        <v>76</v>
      </c>
    </row>
    <row r="36" spans="1:32" ht="15" customHeight="1" x14ac:dyDescent="0.35">
      <c r="A36" s="264"/>
      <c r="B36" s="272"/>
      <c r="C36" s="272"/>
      <c r="D36" s="25" t="s">
        <v>31</v>
      </c>
      <c r="E36" s="50" t="s">
        <v>27</v>
      </c>
      <c r="F36" s="26" t="s">
        <v>28</v>
      </c>
      <c r="G36" s="27" t="s">
        <v>29</v>
      </c>
      <c r="H36" s="51">
        <v>12</v>
      </c>
      <c r="I36" s="52">
        <v>500</v>
      </c>
      <c r="J36" s="52">
        <v>0</v>
      </c>
      <c r="K36" s="52">
        <v>6000</v>
      </c>
      <c r="L36" s="52"/>
      <c r="M36" s="52"/>
      <c r="N36" s="52"/>
      <c r="O36" s="52"/>
      <c r="P36" s="52"/>
      <c r="Q36" s="52"/>
      <c r="R36" s="52">
        <v>0</v>
      </c>
      <c r="S36" s="220"/>
      <c r="T36" s="36">
        <v>6000</v>
      </c>
      <c r="U36" s="36"/>
      <c r="V36" s="30"/>
      <c r="W36" s="31">
        <f t="shared" si="0"/>
        <v>0</v>
      </c>
      <c r="X36" s="32" t="e">
        <f>#REF!-W36</f>
        <v>#REF!</v>
      </c>
      <c r="Y36" s="32"/>
      <c r="Z36" s="33">
        <f t="shared" si="1"/>
        <v>6000</v>
      </c>
      <c r="AA36" s="33">
        <f t="shared" si="2"/>
        <v>0</v>
      </c>
      <c r="AB36" s="261"/>
      <c r="AC36" s="261"/>
      <c r="AD36" s="261"/>
      <c r="AE36" s="261"/>
      <c r="AF36" s="34" t="s">
        <v>77</v>
      </c>
    </row>
    <row r="37" spans="1:32" ht="15" customHeight="1" x14ac:dyDescent="0.35">
      <c r="A37" s="264"/>
      <c r="B37" s="272"/>
      <c r="C37" s="272"/>
      <c r="D37" s="25" t="s">
        <v>33</v>
      </c>
      <c r="E37" s="50" t="s">
        <v>34</v>
      </c>
      <c r="F37" s="26" t="s">
        <v>28</v>
      </c>
      <c r="G37" s="27" t="s">
        <v>29</v>
      </c>
      <c r="H37" s="51">
        <v>20</v>
      </c>
      <c r="I37" s="52">
        <v>500</v>
      </c>
      <c r="J37" s="52">
        <v>0</v>
      </c>
      <c r="K37" s="52">
        <v>10000</v>
      </c>
      <c r="L37" s="52"/>
      <c r="M37" s="52"/>
      <c r="N37" s="52"/>
      <c r="O37" s="52"/>
      <c r="P37" s="52"/>
      <c r="Q37" s="52"/>
      <c r="R37" s="52">
        <v>0</v>
      </c>
      <c r="S37" s="36"/>
      <c r="T37" s="36">
        <v>5000</v>
      </c>
      <c r="U37" s="36"/>
      <c r="V37" s="30">
        <v>5000</v>
      </c>
      <c r="W37" s="31">
        <f t="shared" si="0"/>
        <v>0</v>
      </c>
      <c r="X37" s="32" t="e">
        <f>#REF!-W37</f>
        <v>#REF!</v>
      </c>
      <c r="Y37" s="32"/>
      <c r="Z37" s="33">
        <f t="shared" si="1"/>
        <v>10000</v>
      </c>
      <c r="AA37" s="33">
        <f t="shared" si="2"/>
        <v>0</v>
      </c>
      <c r="AB37" s="261"/>
      <c r="AC37" s="261"/>
      <c r="AD37" s="261"/>
      <c r="AE37" s="261"/>
      <c r="AF37" s="34" t="s">
        <v>78</v>
      </c>
    </row>
    <row r="38" spans="1:32" ht="15" customHeight="1" x14ac:dyDescent="0.35">
      <c r="A38" s="264"/>
      <c r="B38" s="272"/>
      <c r="C38" s="272"/>
      <c r="D38" s="25" t="s">
        <v>17</v>
      </c>
      <c r="E38" s="50" t="s">
        <v>27</v>
      </c>
      <c r="F38" s="26" t="s">
        <v>36</v>
      </c>
      <c r="G38" s="27" t="s">
        <v>55</v>
      </c>
      <c r="H38" s="27">
        <v>1</v>
      </c>
      <c r="I38" s="45">
        <v>3500</v>
      </c>
      <c r="J38" s="45">
        <v>3500</v>
      </c>
      <c r="K38" s="45">
        <v>0</v>
      </c>
      <c r="L38" s="45"/>
      <c r="M38" s="45"/>
      <c r="N38" s="45"/>
      <c r="O38" s="45"/>
      <c r="P38" s="45"/>
      <c r="Q38" s="45"/>
      <c r="R38" s="45">
        <v>3500</v>
      </c>
      <c r="S38" s="220">
        <v>3500</v>
      </c>
      <c r="T38" s="36"/>
      <c r="U38" s="36"/>
      <c r="V38" s="30"/>
      <c r="W38" s="31">
        <f t="shared" si="0"/>
        <v>3500</v>
      </c>
      <c r="X38" s="32" t="e">
        <f>#REF!-W38</f>
        <v>#REF!</v>
      </c>
      <c r="Y38" s="32"/>
      <c r="Z38" s="33">
        <f t="shared" si="1"/>
        <v>0</v>
      </c>
      <c r="AA38" s="33">
        <f t="shared" si="2"/>
        <v>0</v>
      </c>
      <c r="AB38" s="262"/>
      <c r="AC38" s="262"/>
      <c r="AD38" s="261"/>
      <c r="AE38" s="261"/>
      <c r="AF38" s="34" t="s">
        <v>79</v>
      </c>
    </row>
    <row r="39" spans="1:32" ht="15" customHeight="1" x14ac:dyDescent="0.35">
      <c r="A39" s="264"/>
      <c r="B39" s="272"/>
      <c r="C39" s="39"/>
      <c r="D39" s="39"/>
      <c r="E39" s="53"/>
      <c r="F39" s="40"/>
      <c r="G39" s="41"/>
      <c r="H39" s="41"/>
      <c r="I39" s="54"/>
      <c r="J39" s="54">
        <f>SUM(J35:J38)</f>
        <v>33750</v>
      </c>
      <c r="K39" s="54">
        <f t="shared" ref="K39:AC39" si="7">SUM(K35:K38)</f>
        <v>16000</v>
      </c>
      <c r="L39" s="54">
        <f t="shared" si="7"/>
        <v>0</v>
      </c>
      <c r="M39" s="54">
        <f t="shared" si="7"/>
        <v>0</v>
      </c>
      <c r="N39" s="54">
        <f t="shared" si="7"/>
        <v>0</v>
      </c>
      <c r="O39" s="54">
        <f t="shared" si="7"/>
        <v>0</v>
      </c>
      <c r="P39" s="54">
        <f t="shared" si="7"/>
        <v>0</v>
      </c>
      <c r="Q39" s="54">
        <f t="shared" si="7"/>
        <v>0</v>
      </c>
      <c r="R39" s="54">
        <f t="shared" si="7"/>
        <v>33750</v>
      </c>
      <c r="S39" s="54">
        <f t="shared" si="7"/>
        <v>33750</v>
      </c>
      <c r="T39" s="54">
        <f t="shared" si="7"/>
        <v>11000</v>
      </c>
      <c r="U39" s="54">
        <f t="shared" si="7"/>
        <v>0</v>
      </c>
      <c r="V39" s="54">
        <f t="shared" si="7"/>
        <v>5000</v>
      </c>
      <c r="W39" s="54">
        <f t="shared" si="7"/>
        <v>33750</v>
      </c>
      <c r="X39" s="54" t="e">
        <f t="shared" si="7"/>
        <v>#REF!</v>
      </c>
      <c r="Y39" s="54">
        <f t="shared" si="7"/>
        <v>0</v>
      </c>
      <c r="Z39" s="54">
        <f t="shared" si="7"/>
        <v>16000</v>
      </c>
      <c r="AA39" s="54">
        <f t="shared" si="7"/>
        <v>0</v>
      </c>
      <c r="AB39" s="54">
        <f t="shared" si="7"/>
        <v>33750</v>
      </c>
      <c r="AC39" s="54">
        <f t="shared" si="7"/>
        <v>16000</v>
      </c>
      <c r="AD39" s="261"/>
      <c r="AE39" s="261"/>
      <c r="AF39" s="49"/>
    </row>
    <row r="40" spans="1:32" ht="15" customHeight="1" x14ac:dyDescent="0.35">
      <c r="A40" s="264"/>
      <c r="B40" s="272"/>
      <c r="C40" s="272" t="s">
        <v>80</v>
      </c>
      <c r="D40" s="25" t="s">
        <v>17</v>
      </c>
      <c r="E40" s="50" t="s">
        <v>34</v>
      </c>
      <c r="F40" s="55" t="s">
        <v>28</v>
      </c>
      <c r="G40" s="27" t="s">
        <v>44</v>
      </c>
      <c r="H40" s="27">
        <v>4.3</v>
      </c>
      <c r="I40" s="45">
        <v>22000</v>
      </c>
      <c r="J40" s="45">
        <v>95067</v>
      </c>
      <c r="K40" s="45">
        <v>0</v>
      </c>
      <c r="L40" s="45"/>
      <c r="M40" s="45"/>
      <c r="N40" s="45"/>
      <c r="O40" s="45"/>
      <c r="P40" s="45">
        <v>589.28</v>
      </c>
      <c r="Q40" s="45"/>
      <c r="R40" s="45">
        <v>94477.72</v>
      </c>
      <c r="S40" s="36">
        <v>0</v>
      </c>
      <c r="T40" s="36"/>
      <c r="U40" s="36">
        <v>71124.55</v>
      </c>
      <c r="V40" s="30"/>
      <c r="W40" s="31">
        <f t="shared" si="0"/>
        <v>71713.83</v>
      </c>
      <c r="X40" s="56" t="e">
        <f>#REF!-W40</f>
        <v>#REF!</v>
      </c>
      <c r="Y40" s="56"/>
      <c r="Z40" s="33">
        <f t="shared" si="1"/>
        <v>0</v>
      </c>
      <c r="AA40" s="33">
        <f t="shared" si="2"/>
        <v>23353.17</v>
      </c>
      <c r="AB40" s="260">
        <f>SUM(W40:W52)</f>
        <v>353515.75</v>
      </c>
      <c r="AC40" s="260">
        <f>SUM(Z40:Z52)</f>
        <v>24000</v>
      </c>
      <c r="AD40" s="261"/>
      <c r="AE40" s="261"/>
      <c r="AF40" s="34" t="s">
        <v>81</v>
      </c>
    </row>
    <row r="41" spans="1:32" ht="15" customHeight="1" x14ac:dyDescent="0.35">
      <c r="A41" s="264"/>
      <c r="B41" s="272"/>
      <c r="C41" s="272"/>
      <c r="D41" s="25" t="s">
        <v>17</v>
      </c>
      <c r="E41" s="50" t="s">
        <v>34</v>
      </c>
      <c r="F41" s="55" t="s">
        <v>28</v>
      </c>
      <c r="G41" s="27" t="s">
        <v>44</v>
      </c>
      <c r="H41" s="27">
        <v>4.3</v>
      </c>
      <c r="I41" s="45">
        <v>22000</v>
      </c>
      <c r="J41" s="45">
        <v>95067</v>
      </c>
      <c r="K41" s="45">
        <v>0</v>
      </c>
      <c r="L41" s="45"/>
      <c r="M41" s="45"/>
      <c r="N41" s="45"/>
      <c r="O41" s="45"/>
      <c r="P41" s="45">
        <v>0</v>
      </c>
      <c r="Q41" s="45"/>
      <c r="R41" s="45">
        <v>95067</v>
      </c>
      <c r="S41" s="36">
        <v>40000</v>
      </c>
      <c r="T41" s="36"/>
      <c r="U41" s="36">
        <v>41033.75</v>
      </c>
      <c r="V41" s="30"/>
      <c r="W41" s="31">
        <f t="shared" si="0"/>
        <v>81033.75</v>
      </c>
      <c r="X41" s="56" t="e">
        <f>#REF!-W41</f>
        <v>#REF!</v>
      </c>
      <c r="Y41" s="56"/>
      <c r="Z41" s="33">
        <f t="shared" si="1"/>
        <v>0</v>
      </c>
      <c r="AA41" s="33">
        <f t="shared" si="2"/>
        <v>14033.25</v>
      </c>
      <c r="AB41" s="261"/>
      <c r="AC41" s="261"/>
      <c r="AD41" s="261"/>
      <c r="AE41" s="261"/>
      <c r="AF41" s="34" t="s">
        <v>82</v>
      </c>
    </row>
    <row r="42" spans="1:32" ht="15" customHeight="1" x14ac:dyDescent="0.35">
      <c r="A42" s="264"/>
      <c r="B42" s="272"/>
      <c r="C42" s="272"/>
      <c r="D42" s="25" t="s">
        <v>17</v>
      </c>
      <c r="E42" s="50" t="s">
        <v>34</v>
      </c>
      <c r="F42" s="55" t="s">
        <v>57</v>
      </c>
      <c r="G42" s="27" t="s">
        <v>58</v>
      </c>
      <c r="H42" s="27">
        <v>30</v>
      </c>
      <c r="I42" s="45">
        <v>600</v>
      </c>
      <c r="J42" s="45">
        <v>18000</v>
      </c>
      <c r="K42" s="45">
        <v>0</v>
      </c>
      <c r="L42" s="45"/>
      <c r="M42" s="45"/>
      <c r="N42" s="45"/>
      <c r="O42" s="45"/>
      <c r="P42" s="45">
        <v>0</v>
      </c>
      <c r="Q42" s="45"/>
      <c r="R42" s="45">
        <v>18000</v>
      </c>
      <c r="S42" s="36">
        <v>0</v>
      </c>
      <c r="T42" s="36"/>
      <c r="U42" s="36">
        <v>0</v>
      </c>
      <c r="V42" s="30"/>
      <c r="W42" s="31">
        <f t="shared" si="0"/>
        <v>0</v>
      </c>
      <c r="X42" s="56" t="e">
        <f>#REF!-W42</f>
        <v>#REF!</v>
      </c>
      <c r="Y42" s="56"/>
      <c r="Z42" s="33">
        <f t="shared" si="1"/>
        <v>0</v>
      </c>
      <c r="AA42" s="33">
        <f t="shared" si="2"/>
        <v>18000</v>
      </c>
      <c r="AB42" s="261"/>
      <c r="AC42" s="261"/>
      <c r="AD42" s="261"/>
      <c r="AE42" s="261"/>
      <c r="AF42" s="34" t="s">
        <v>83</v>
      </c>
    </row>
    <row r="43" spans="1:32" ht="15" customHeight="1" x14ac:dyDescent="0.35">
      <c r="A43" s="264"/>
      <c r="B43" s="272"/>
      <c r="C43" s="272"/>
      <c r="D43" s="25" t="s">
        <v>17</v>
      </c>
      <c r="E43" s="50" t="s">
        <v>34</v>
      </c>
      <c r="F43" s="55" t="s">
        <v>36</v>
      </c>
      <c r="G43" s="27" t="s">
        <v>55</v>
      </c>
      <c r="H43" s="27">
        <v>2</v>
      </c>
      <c r="I43" s="45">
        <v>3750</v>
      </c>
      <c r="J43" s="45">
        <v>7500</v>
      </c>
      <c r="K43" s="45">
        <v>0</v>
      </c>
      <c r="L43" s="45"/>
      <c r="M43" s="45"/>
      <c r="N43" s="45"/>
      <c r="O43" s="45"/>
      <c r="P43" s="45">
        <v>0</v>
      </c>
      <c r="Q43" s="45"/>
      <c r="R43" s="45">
        <v>7500</v>
      </c>
      <c r="S43" s="36">
        <v>0</v>
      </c>
      <c r="T43" s="36"/>
      <c r="U43" s="36">
        <v>0</v>
      </c>
      <c r="V43" s="30"/>
      <c r="W43" s="31">
        <f t="shared" si="0"/>
        <v>0</v>
      </c>
      <c r="X43" s="56" t="e">
        <f>#REF!-W43</f>
        <v>#REF!</v>
      </c>
      <c r="Y43" s="56"/>
      <c r="Z43" s="33">
        <f t="shared" si="1"/>
        <v>0</v>
      </c>
      <c r="AA43" s="33">
        <f t="shared" si="2"/>
        <v>7500</v>
      </c>
      <c r="AB43" s="261"/>
      <c r="AC43" s="261"/>
      <c r="AD43" s="261"/>
      <c r="AE43" s="261"/>
      <c r="AF43" s="34" t="s">
        <v>84</v>
      </c>
    </row>
    <row r="44" spans="1:32" ht="15" customHeight="1" x14ac:dyDescent="0.35">
      <c r="A44" s="264"/>
      <c r="B44" s="272"/>
      <c r="C44" s="272"/>
      <c r="D44" s="25" t="s">
        <v>17</v>
      </c>
      <c r="E44" s="50" t="s">
        <v>34</v>
      </c>
      <c r="F44" s="55" t="s">
        <v>61</v>
      </c>
      <c r="G44" s="27" t="s">
        <v>62</v>
      </c>
      <c r="H44" s="27">
        <v>1</v>
      </c>
      <c r="I44" s="45">
        <v>3000</v>
      </c>
      <c r="J44" s="45">
        <v>3000</v>
      </c>
      <c r="K44" s="45">
        <v>0</v>
      </c>
      <c r="L44" s="45"/>
      <c r="M44" s="45"/>
      <c r="N44" s="45">
        <v>210.98</v>
      </c>
      <c r="O44" s="45"/>
      <c r="P44" s="45">
        <v>1543.17</v>
      </c>
      <c r="Q44" s="45"/>
      <c r="R44" s="45">
        <v>1245.8499999999999</v>
      </c>
      <c r="S44" s="36">
        <v>2789.02</v>
      </c>
      <c r="T44" s="36"/>
      <c r="U44" s="36">
        <v>0</v>
      </c>
      <c r="V44" s="30"/>
      <c r="W44" s="31">
        <f t="shared" si="0"/>
        <v>4543.17</v>
      </c>
      <c r="X44" s="56" t="e">
        <f>#REF!-W44</f>
        <v>#REF!</v>
      </c>
      <c r="Y44" s="56"/>
      <c r="Z44" s="33">
        <f t="shared" si="1"/>
        <v>0</v>
      </c>
      <c r="AA44" s="33">
        <f t="shared" si="2"/>
        <v>-1543.17</v>
      </c>
      <c r="AB44" s="261"/>
      <c r="AC44" s="261"/>
      <c r="AD44" s="261"/>
      <c r="AE44" s="261"/>
      <c r="AF44" s="34" t="s">
        <v>85</v>
      </c>
    </row>
    <row r="45" spans="1:32" ht="15" customHeight="1" x14ac:dyDescent="0.35">
      <c r="A45" s="264"/>
      <c r="B45" s="272"/>
      <c r="C45" s="272"/>
      <c r="D45" s="25" t="s">
        <v>17</v>
      </c>
      <c r="E45" s="50" t="s">
        <v>34</v>
      </c>
      <c r="F45" s="55" t="s">
        <v>61</v>
      </c>
      <c r="G45" s="27" t="s">
        <v>86</v>
      </c>
      <c r="H45" s="27">
        <v>1</v>
      </c>
      <c r="I45" s="45">
        <v>24800</v>
      </c>
      <c r="J45" s="45">
        <v>24800</v>
      </c>
      <c r="K45" s="45">
        <v>0</v>
      </c>
      <c r="L45" s="45"/>
      <c r="M45" s="45"/>
      <c r="N45" s="45"/>
      <c r="O45" s="45"/>
      <c r="P45" s="45">
        <v>0</v>
      </c>
      <c r="Q45" s="45"/>
      <c r="R45" s="45">
        <v>24800</v>
      </c>
      <c r="S45" s="36">
        <f>24800+59810</f>
        <v>84610</v>
      </c>
      <c r="T45" s="36"/>
      <c r="U45" s="36">
        <v>0</v>
      </c>
      <c r="V45" s="30"/>
      <c r="W45" s="31">
        <f t="shared" si="0"/>
        <v>84610</v>
      </c>
      <c r="X45" s="56" t="e">
        <f>#REF!-W45</f>
        <v>#REF!</v>
      </c>
      <c r="Y45" s="56"/>
      <c r="Z45" s="33">
        <f t="shared" si="1"/>
        <v>0</v>
      </c>
      <c r="AA45" s="33">
        <f t="shared" si="2"/>
        <v>-59810</v>
      </c>
      <c r="AB45" s="261"/>
      <c r="AC45" s="261"/>
      <c r="AD45" s="261"/>
      <c r="AE45" s="261"/>
      <c r="AF45" s="34" t="s">
        <v>87</v>
      </c>
    </row>
    <row r="46" spans="1:32" ht="15" customHeight="1" x14ac:dyDescent="0.35">
      <c r="A46" s="264"/>
      <c r="B46" s="272"/>
      <c r="C46" s="272"/>
      <c r="D46" s="25" t="s">
        <v>17</v>
      </c>
      <c r="E46" s="50" t="s">
        <v>34</v>
      </c>
      <c r="F46" s="55" t="s">
        <v>61</v>
      </c>
      <c r="G46" s="27" t="s">
        <v>86</v>
      </c>
      <c r="H46" s="27">
        <v>1</v>
      </c>
      <c r="I46" s="45">
        <v>44615</v>
      </c>
      <c r="J46" s="45">
        <v>44615</v>
      </c>
      <c r="K46" s="45">
        <v>0</v>
      </c>
      <c r="L46" s="45"/>
      <c r="M46" s="45"/>
      <c r="N46" s="45"/>
      <c r="O46" s="45"/>
      <c r="P46" s="45">
        <v>0</v>
      </c>
      <c r="Q46" s="45"/>
      <c r="R46" s="45">
        <v>44615</v>
      </c>
      <c r="S46" s="36">
        <v>44615</v>
      </c>
      <c r="T46" s="36"/>
      <c r="U46" s="36">
        <v>0</v>
      </c>
      <c r="V46" s="30"/>
      <c r="W46" s="31">
        <f t="shared" si="0"/>
        <v>44615</v>
      </c>
      <c r="X46" s="56" t="e">
        <f>#REF!-W46</f>
        <v>#REF!</v>
      </c>
      <c r="Y46" s="56"/>
      <c r="Z46" s="33">
        <f t="shared" si="1"/>
        <v>0</v>
      </c>
      <c r="AA46" s="33">
        <f t="shared" si="2"/>
        <v>0</v>
      </c>
      <c r="AB46" s="261"/>
      <c r="AC46" s="261"/>
      <c r="AD46" s="261"/>
      <c r="AE46" s="261"/>
      <c r="AF46" s="34" t="s">
        <v>88</v>
      </c>
    </row>
    <row r="47" spans="1:32" ht="15" customHeight="1" x14ac:dyDescent="0.35">
      <c r="A47" s="264"/>
      <c r="B47" s="272"/>
      <c r="C47" s="272"/>
      <c r="D47" s="25" t="s">
        <v>17</v>
      </c>
      <c r="E47" s="50" t="s">
        <v>34</v>
      </c>
      <c r="F47" s="55" t="s">
        <v>57</v>
      </c>
      <c r="G47" s="27" t="s">
        <v>58</v>
      </c>
      <c r="H47" s="27">
        <v>80</v>
      </c>
      <c r="I47" s="45">
        <v>600</v>
      </c>
      <c r="J47" s="45">
        <v>48000</v>
      </c>
      <c r="K47" s="45">
        <v>0</v>
      </c>
      <c r="L47" s="45"/>
      <c r="M47" s="45"/>
      <c r="N47" s="45"/>
      <c r="O47" s="45"/>
      <c r="P47" s="45">
        <v>0</v>
      </c>
      <c r="Q47" s="45"/>
      <c r="R47" s="45">
        <v>48000</v>
      </c>
      <c r="S47" s="36">
        <v>0</v>
      </c>
      <c r="T47" s="36"/>
      <c r="U47" s="36">
        <v>48000</v>
      </c>
      <c r="V47" s="30"/>
      <c r="W47" s="31">
        <f t="shared" si="0"/>
        <v>48000</v>
      </c>
      <c r="X47" s="56" t="e">
        <f>#REF!-W47</f>
        <v>#REF!</v>
      </c>
      <c r="Y47" s="56"/>
      <c r="Z47" s="33">
        <f t="shared" si="1"/>
        <v>0</v>
      </c>
      <c r="AA47" s="33">
        <f t="shared" si="2"/>
        <v>0</v>
      </c>
      <c r="AB47" s="261"/>
      <c r="AC47" s="261"/>
      <c r="AD47" s="261"/>
      <c r="AE47" s="261"/>
      <c r="AF47" s="34" t="s">
        <v>89</v>
      </c>
    </row>
    <row r="48" spans="1:32" ht="15" customHeight="1" x14ac:dyDescent="0.35">
      <c r="A48" s="264"/>
      <c r="B48" s="272"/>
      <c r="C48" s="272"/>
      <c r="D48" s="25" t="s">
        <v>17</v>
      </c>
      <c r="E48" s="50" t="s">
        <v>34</v>
      </c>
      <c r="F48" s="55" t="s">
        <v>36</v>
      </c>
      <c r="G48" s="27" t="s">
        <v>55</v>
      </c>
      <c r="H48" s="27">
        <v>4</v>
      </c>
      <c r="I48" s="45">
        <v>3750</v>
      </c>
      <c r="J48" s="45">
        <v>15000</v>
      </c>
      <c r="K48" s="45">
        <v>0</v>
      </c>
      <c r="L48" s="45"/>
      <c r="M48" s="45"/>
      <c r="N48" s="45"/>
      <c r="O48" s="45"/>
      <c r="P48" s="45">
        <v>0</v>
      </c>
      <c r="Q48" s="45"/>
      <c r="R48" s="45">
        <v>15000</v>
      </c>
      <c r="S48" s="36">
        <v>0</v>
      </c>
      <c r="T48" s="36"/>
      <c r="U48" s="36">
        <v>15000</v>
      </c>
      <c r="V48" s="30"/>
      <c r="W48" s="31">
        <f t="shared" si="0"/>
        <v>15000</v>
      </c>
      <c r="X48" s="56" t="e">
        <f>#REF!-W48</f>
        <v>#REF!</v>
      </c>
      <c r="Y48" s="56"/>
      <c r="Z48" s="33">
        <f t="shared" si="1"/>
        <v>0</v>
      </c>
      <c r="AA48" s="33">
        <f t="shared" si="2"/>
        <v>0</v>
      </c>
      <c r="AB48" s="261"/>
      <c r="AC48" s="261"/>
      <c r="AD48" s="261"/>
      <c r="AE48" s="261"/>
      <c r="AF48" s="34" t="s">
        <v>90</v>
      </c>
    </row>
    <row r="49" spans="1:32" ht="15" customHeight="1" x14ac:dyDescent="0.35">
      <c r="A49" s="264"/>
      <c r="B49" s="272"/>
      <c r="C49" s="272"/>
      <c r="D49" s="25" t="s">
        <v>17</v>
      </c>
      <c r="E49" s="50" t="s">
        <v>34</v>
      </c>
      <c r="F49" s="55" t="s">
        <v>57</v>
      </c>
      <c r="G49" s="27" t="s">
        <v>58</v>
      </c>
      <c r="H49" s="27">
        <v>15</v>
      </c>
      <c r="I49" s="45">
        <v>500</v>
      </c>
      <c r="J49" s="45">
        <v>7500</v>
      </c>
      <c r="K49" s="45">
        <v>0</v>
      </c>
      <c r="L49" s="45"/>
      <c r="M49" s="45"/>
      <c r="N49" s="45"/>
      <c r="O49" s="45"/>
      <c r="P49" s="45">
        <v>0</v>
      </c>
      <c r="Q49" s="45"/>
      <c r="R49" s="45">
        <v>7500</v>
      </c>
      <c r="S49" s="36"/>
      <c r="T49" s="36"/>
      <c r="U49" s="36">
        <v>0</v>
      </c>
      <c r="V49" s="30"/>
      <c r="W49" s="31">
        <f t="shared" si="0"/>
        <v>0</v>
      </c>
      <c r="X49" s="56" t="e">
        <f>#REF!-W49</f>
        <v>#REF!</v>
      </c>
      <c r="Y49" s="56"/>
      <c r="Z49" s="33">
        <f t="shared" si="1"/>
        <v>0</v>
      </c>
      <c r="AA49" s="33">
        <f t="shared" si="2"/>
        <v>7500</v>
      </c>
      <c r="AB49" s="261"/>
      <c r="AC49" s="261"/>
      <c r="AD49" s="261"/>
      <c r="AE49" s="261"/>
      <c r="AF49" s="34" t="s">
        <v>91</v>
      </c>
    </row>
    <row r="50" spans="1:32" ht="15" customHeight="1" x14ac:dyDescent="0.35">
      <c r="A50" s="264"/>
      <c r="B50" s="272"/>
      <c r="C50" s="272"/>
      <c r="D50" s="25" t="s">
        <v>17</v>
      </c>
      <c r="E50" s="50" t="s">
        <v>34</v>
      </c>
      <c r="F50" s="55" t="s">
        <v>36</v>
      </c>
      <c r="G50" s="27" t="s">
        <v>55</v>
      </c>
      <c r="H50" s="27">
        <v>1</v>
      </c>
      <c r="I50" s="45">
        <v>5000</v>
      </c>
      <c r="J50" s="45">
        <v>5000</v>
      </c>
      <c r="K50" s="45">
        <v>0</v>
      </c>
      <c r="L50" s="45"/>
      <c r="M50" s="45"/>
      <c r="N50" s="45"/>
      <c r="O50" s="45"/>
      <c r="P50" s="45">
        <v>0</v>
      </c>
      <c r="Q50" s="45"/>
      <c r="R50" s="45">
        <v>5000</v>
      </c>
      <c r="S50" s="36"/>
      <c r="T50" s="36"/>
      <c r="U50" s="36">
        <v>0</v>
      </c>
      <c r="V50" s="30"/>
      <c r="W50" s="31">
        <f t="shared" si="0"/>
        <v>0</v>
      </c>
      <c r="X50" s="56" t="e">
        <f>#REF!-W50</f>
        <v>#REF!</v>
      </c>
      <c r="Y50" s="56"/>
      <c r="Z50" s="33">
        <f t="shared" si="1"/>
        <v>0</v>
      </c>
      <c r="AA50" s="33">
        <f t="shared" si="2"/>
        <v>5000</v>
      </c>
      <c r="AB50" s="261"/>
      <c r="AC50" s="261"/>
      <c r="AD50" s="261"/>
      <c r="AE50" s="261"/>
      <c r="AF50" s="34" t="s">
        <v>92</v>
      </c>
    </row>
    <row r="51" spans="1:32" ht="15" customHeight="1" x14ac:dyDescent="0.35">
      <c r="A51" s="264"/>
      <c r="B51" s="272"/>
      <c r="C51" s="272"/>
      <c r="D51" s="25" t="s">
        <v>17</v>
      </c>
      <c r="E51" s="50" t="s">
        <v>34</v>
      </c>
      <c r="F51" s="55" t="s">
        <v>66</v>
      </c>
      <c r="G51" s="27" t="s">
        <v>62</v>
      </c>
      <c r="H51" s="27">
        <v>4</v>
      </c>
      <c r="I51" s="45">
        <v>1000</v>
      </c>
      <c r="J51" s="45">
        <v>4000</v>
      </c>
      <c r="K51" s="45">
        <v>0</v>
      </c>
      <c r="L51" s="45"/>
      <c r="M51" s="45"/>
      <c r="N51" s="45"/>
      <c r="O51" s="45"/>
      <c r="P51" s="45">
        <v>0</v>
      </c>
      <c r="Q51" s="45"/>
      <c r="R51" s="45">
        <v>4000</v>
      </c>
      <c r="S51" s="36">
        <v>2000</v>
      </c>
      <c r="T51" s="36"/>
      <c r="U51" s="36">
        <v>2000</v>
      </c>
      <c r="V51" s="30"/>
      <c r="W51" s="31">
        <f t="shared" si="0"/>
        <v>4000</v>
      </c>
      <c r="X51" s="56" t="e">
        <f>#REF!-W51</f>
        <v>#REF!</v>
      </c>
      <c r="Y51" s="56"/>
      <c r="Z51" s="33">
        <f t="shared" si="1"/>
        <v>0</v>
      </c>
      <c r="AA51" s="33">
        <f t="shared" si="2"/>
        <v>0</v>
      </c>
      <c r="AB51" s="261"/>
      <c r="AC51" s="261"/>
      <c r="AD51" s="261"/>
      <c r="AE51" s="261"/>
      <c r="AF51" s="34" t="s">
        <v>93</v>
      </c>
    </row>
    <row r="52" spans="1:32" ht="15" customHeight="1" x14ac:dyDescent="0.35">
      <c r="A52" s="264"/>
      <c r="B52" s="272"/>
      <c r="C52" s="272"/>
      <c r="D52" s="25" t="s">
        <v>33</v>
      </c>
      <c r="E52" s="50" t="s">
        <v>34</v>
      </c>
      <c r="F52" s="55" t="s">
        <v>53</v>
      </c>
      <c r="G52" s="27" t="s">
        <v>86</v>
      </c>
      <c r="H52" s="27">
        <v>4</v>
      </c>
      <c r="I52" s="45">
        <v>6000</v>
      </c>
      <c r="J52" s="45">
        <v>0</v>
      </c>
      <c r="K52" s="45">
        <v>24000</v>
      </c>
      <c r="L52" s="45"/>
      <c r="M52" s="45"/>
      <c r="N52" s="45"/>
      <c r="O52" s="45"/>
      <c r="P52" s="45">
        <v>0</v>
      </c>
      <c r="Q52" s="45"/>
      <c r="R52" s="45">
        <v>0</v>
      </c>
      <c r="S52" s="36"/>
      <c r="T52" s="36">
        <v>12000</v>
      </c>
      <c r="U52" s="36">
        <v>0</v>
      </c>
      <c r="V52" s="30">
        <v>12000</v>
      </c>
      <c r="W52" s="31">
        <f t="shared" si="0"/>
        <v>0</v>
      </c>
      <c r="X52" s="56" t="e">
        <f>#REF!-W52</f>
        <v>#REF!</v>
      </c>
      <c r="Y52" s="56"/>
      <c r="Z52" s="33">
        <f t="shared" si="1"/>
        <v>24000</v>
      </c>
      <c r="AA52" s="33">
        <f t="shared" si="2"/>
        <v>0</v>
      </c>
      <c r="AB52" s="262"/>
      <c r="AC52" s="262"/>
      <c r="AD52" s="261"/>
      <c r="AE52" s="261"/>
      <c r="AF52" s="34" t="s">
        <v>94</v>
      </c>
    </row>
    <row r="53" spans="1:32" ht="15" customHeight="1" x14ac:dyDescent="0.35">
      <c r="A53" s="264"/>
      <c r="B53" s="272"/>
      <c r="C53" s="39"/>
      <c r="D53" s="39"/>
      <c r="E53" s="53"/>
      <c r="F53" s="57"/>
      <c r="G53" s="41"/>
      <c r="H53" s="41"/>
      <c r="I53" s="54"/>
      <c r="J53" s="54">
        <f>SUM(J40:J52)</f>
        <v>367549</v>
      </c>
      <c r="K53" s="54">
        <f t="shared" ref="K53:AC53" si="8">SUM(K40:K52)</f>
        <v>24000</v>
      </c>
      <c r="L53" s="54">
        <f t="shared" si="8"/>
        <v>0</v>
      </c>
      <c r="M53" s="54">
        <f t="shared" si="8"/>
        <v>0</v>
      </c>
      <c r="N53" s="54">
        <f t="shared" si="8"/>
        <v>210.98</v>
      </c>
      <c r="O53" s="54">
        <f t="shared" si="8"/>
        <v>0</v>
      </c>
      <c r="P53" s="54">
        <f t="shared" si="8"/>
        <v>2132.4499999999998</v>
      </c>
      <c r="Q53" s="54">
        <f t="shared" si="8"/>
        <v>0</v>
      </c>
      <c r="R53" s="54">
        <f t="shared" si="8"/>
        <v>365205.57</v>
      </c>
      <c r="S53" s="54">
        <f t="shared" si="8"/>
        <v>174014.02</v>
      </c>
      <c r="T53" s="54">
        <f t="shared" si="8"/>
        <v>12000</v>
      </c>
      <c r="U53" s="54">
        <f t="shared" si="8"/>
        <v>177158.3</v>
      </c>
      <c r="V53" s="54">
        <f t="shared" si="8"/>
        <v>12000</v>
      </c>
      <c r="W53" s="54">
        <f t="shared" si="8"/>
        <v>353515.75</v>
      </c>
      <c r="X53" s="54" t="e">
        <f t="shared" si="8"/>
        <v>#REF!</v>
      </c>
      <c r="Y53" s="54">
        <f t="shared" si="8"/>
        <v>0</v>
      </c>
      <c r="Z53" s="54">
        <f t="shared" si="8"/>
        <v>24000</v>
      </c>
      <c r="AA53" s="54">
        <f t="shared" si="8"/>
        <v>14033.25</v>
      </c>
      <c r="AB53" s="54">
        <f t="shared" si="8"/>
        <v>353515.75</v>
      </c>
      <c r="AC53" s="54">
        <f t="shared" si="8"/>
        <v>24000</v>
      </c>
      <c r="AD53" s="261"/>
      <c r="AE53" s="261"/>
      <c r="AF53" s="49"/>
    </row>
    <row r="54" spans="1:32" ht="15" customHeight="1" x14ac:dyDescent="0.35">
      <c r="A54" s="264"/>
      <c r="B54" s="272"/>
      <c r="C54" s="272" t="s">
        <v>95</v>
      </c>
      <c r="D54" s="25" t="s">
        <v>17</v>
      </c>
      <c r="E54" s="25" t="s">
        <v>27</v>
      </c>
      <c r="F54" s="55" t="s">
        <v>28</v>
      </c>
      <c r="G54" s="27" t="s">
        <v>29</v>
      </c>
      <c r="H54" s="27">
        <v>6</v>
      </c>
      <c r="I54" s="45">
        <v>3916.6666660000001</v>
      </c>
      <c r="J54" s="45">
        <v>23499.999995999999</v>
      </c>
      <c r="K54" s="45">
        <v>0</v>
      </c>
      <c r="L54" s="45">
        <v>9593</v>
      </c>
      <c r="M54" s="45"/>
      <c r="N54" s="45"/>
      <c r="O54" s="45"/>
      <c r="P54" s="45"/>
      <c r="Q54" s="45"/>
      <c r="R54" s="45">
        <v>13906.999995999999</v>
      </c>
      <c r="S54" s="222">
        <v>13907</v>
      </c>
      <c r="T54" s="58"/>
      <c r="U54" s="58">
        <v>0</v>
      </c>
      <c r="V54" s="59"/>
      <c r="W54" s="31">
        <f t="shared" si="0"/>
        <v>23500</v>
      </c>
      <c r="X54" s="60" t="e">
        <f>#REF!-W54</f>
        <v>#REF!</v>
      </c>
      <c r="Y54" s="60"/>
      <c r="Z54" s="33">
        <f t="shared" si="1"/>
        <v>0</v>
      </c>
      <c r="AA54" s="33">
        <f t="shared" si="2"/>
        <v>-4.0000013541430235E-6</v>
      </c>
      <c r="AB54" s="260">
        <f>SUM(W54:W60)</f>
        <v>154000</v>
      </c>
      <c r="AC54" s="260">
        <f>SUM(Z54:Z60)</f>
        <v>40316</v>
      </c>
      <c r="AD54" s="261"/>
      <c r="AE54" s="261"/>
      <c r="AF54" s="34" t="s">
        <v>96</v>
      </c>
    </row>
    <row r="55" spans="1:32" ht="15" customHeight="1" x14ac:dyDescent="0.35">
      <c r="A55" s="264"/>
      <c r="B55" s="272"/>
      <c r="C55" s="272"/>
      <c r="D55" s="25" t="s">
        <v>31</v>
      </c>
      <c r="E55" s="25" t="s">
        <v>27</v>
      </c>
      <c r="F55" s="55" t="s">
        <v>28</v>
      </c>
      <c r="G55" s="27" t="s">
        <v>29</v>
      </c>
      <c r="H55" s="27">
        <v>6</v>
      </c>
      <c r="I55" s="45">
        <v>1800</v>
      </c>
      <c r="J55" s="45">
        <v>0</v>
      </c>
      <c r="K55" s="45">
        <v>6800</v>
      </c>
      <c r="L55" s="45"/>
      <c r="M55" s="45"/>
      <c r="N55" s="45"/>
      <c r="O55" s="45">
        <v>4316</v>
      </c>
      <c r="P55" s="45"/>
      <c r="Q55" s="45"/>
      <c r="R55" s="45">
        <v>0</v>
      </c>
      <c r="S55" s="222"/>
      <c r="T55" s="58"/>
      <c r="U55" s="58">
        <v>0</v>
      </c>
      <c r="V55" s="59"/>
      <c r="W55" s="31">
        <f t="shared" si="0"/>
        <v>0</v>
      </c>
      <c r="X55" s="60" t="e">
        <f>#REF!-W55</f>
        <v>#REF!</v>
      </c>
      <c r="Y55" s="60"/>
      <c r="Z55" s="33">
        <f t="shared" si="1"/>
        <v>4316</v>
      </c>
      <c r="AA55" s="33">
        <f t="shared" si="2"/>
        <v>0</v>
      </c>
      <c r="AB55" s="261"/>
      <c r="AC55" s="261"/>
      <c r="AD55" s="261"/>
      <c r="AE55" s="261"/>
      <c r="AF55" s="34" t="s">
        <v>97</v>
      </c>
    </row>
    <row r="56" spans="1:32" ht="15" customHeight="1" x14ac:dyDescent="0.35">
      <c r="A56" s="264"/>
      <c r="B56" s="272"/>
      <c r="C56" s="272"/>
      <c r="D56" s="25" t="s">
        <v>17</v>
      </c>
      <c r="E56" s="25" t="s">
        <v>27</v>
      </c>
      <c r="F56" s="55" t="s">
        <v>28</v>
      </c>
      <c r="G56" s="27" t="s">
        <v>29</v>
      </c>
      <c r="H56" s="27">
        <v>24</v>
      </c>
      <c r="I56" s="45">
        <v>5000</v>
      </c>
      <c r="J56" s="45">
        <v>120000</v>
      </c>
      <c r="K56" s="45">
        <v>0</v>
      </c>
      <c r="L56" s="45"/>
      <c r="M56" s="45"/>
      <c r="N56" s="45"/>
      <c r="O56" s="45"/>
      <c r="P56" s="45"/>
      <c r="Q56" s="45"/>
      <c r="R56" s="45">
        <v>120000</v>
      </c>
      <c r="S56" s="222">
        <v>84000</v>
      </c>
      <c r="T56" s="58">
        <v>0</v>
      </c>
      <c r="U56" s="58">
        <v>36000</v>
      </c>
      <c r="V56" s="59"/>
      <c r="W56" s="31">
        <f t="shared" si="0"/>
        <v>120000</v>
      </c>
      <c r="X56" s="60" t="e">
        <f>#REF!-W56</f>
        <v>#REF!</v>
      </c>
      <c r="Y56" s="60"/>
      <c r="Z56" s="33">
        <f t="shared" si="1"/>
        <v>0</v>
      </c>
      <c r="AA56" s="33">
        <f t="shared" si="2"/>
        <v>0</v>
      </c>
      <c r="AB56" s="261"/>
      <c r="AC56" s="261"/>
      <c r="AD56" s="261"/>
      <c r="AE56" s="261"/>
      <c r="AF56" s="34" t="s">
        <v>98</v>
      </c>
    </row>
    <row r="57" spans="1:32" ht="15" customHeight="1" x14ac:dyDescent="0.35">
      <c r="A57" s="264"/>
      <c r="B57" s="272"/>
      <c r="C57" s="272"/>
      <c r="D57" s="25" t="s">
        <v>31</v>
      </c>
      <c r="E57" s="25" t="s">
        <v>27</v>
      </c>
      <c r="F57" s="55" t="s">
        <v>28</v>
      </c>
      <c r="G57" s="27" t="s">
        <v>29</v>
      </c>
      <c r="H57" s="27">
        <v>24</v>
      </c>
      <c r="I57" s="45">
        <f>24000/24</f>
        <v>1000</v>
      </c>
      <c r="J57" s="45">
        <v>0</v>
      </c>
      <c r="K57" s="45">
        <v>24000</v>
      </c>
      <c r="L57" s="45"/>
      <c r="M57" s="45"/>
      <c r="N57" s="45"/>
      <c r="O57" s="45"/>
      <c r="P57" s="45"/>
      <c r="Q57" s="45"/>
      <c r="R57" s="45">
        <v>0</v>
      </c>
      <c r="S57" s="222"/>
      <c r="T57" s="58">
        <v>18000</v>
      </c>
      <c r="U57" s="58">
        <v>0</v>
      </c>
      <c r="V57" s="59">
        <v>6000</v>
      </c>
      <c r="W57" s="31">
        <f t="shared" si="0"/>
        <v>0</v>
      </c>
      <c r="X57" s="60" t="e">
        <f>#REF!-W57</f>
        <v>#REF!</v>
      </c>
      <c r="Y57" s="60"/>
      <c r="Z57" s="33">
        <f t="shared" si="1"/>
        <v>24000</v>
      </c>
      <c r="AA57" s="33">
        <f t="shared" si="2"/>
        <v>0</v>
      </c>
      <c r="AB57" s="261"/>
      <c r="AC57" s="261"/>
      <c r="AD57" s="261"/>
      <c r="AE57" s="261"/>
      <c r="AF57" s="34" t="s">
        <v>99</v>
      </c>
    </row>
    <row r="58" spans="1:32" ht="15" customHeight="1" x14ac:dyDescent="0.35">
      <c r="A58" s="264"/>
      <c r="B58" s="272"/>
      <c r="C58" s="272"/>
      <c r="D58" s="25" t="s">
        <v>17</v>
      </c>
      <c r="E58" s="25" t="s">
        <v>27</v>
      </c>
      <c r="F58" s="55" t="s">
        <v>36</v>
      </c>
      <c r="G58" s="27" t="s">
        <v>55</v>
      </c>
      <c r="H58" s="27">
        <v>3</v>
      </c>
      <c r="I58" s="45">
        <v>3500</v>
      </c>
      <c r="J58" s="45">
        <v>10500</v>
      </c>
      <c r="K58" s="45">
        <v>0</v>
      </c>
      <c r="L58" s="45">
        <v>2844</v>
      </c>
      <c r="M58" s="45"/>
      <c r="N58" s="45"/>
      <c r="O58" s="45"/>
      <c r="P58" s="45"/>
      <c r="Q58" s="45"/>
      <c r="R58" s="45">
        <v>7656</v>
      </c>
      <c r="S58" s="222">
        <v>7656</v>
      </c>
      <c r="T58" s="58"/>
      <c r="U58" s="58">
        <v>0</v>
      </c>
      <c r="V58" s="59"/>
      <c r="W58" s="31">
        <f t="shared" si="0"/>
        <v>10500</v>
      </c>
      <c r="X58" s="60" t="e">
        <f>#REF!-W58</f>
        <v>#REF!</v>
      </c>
      <c r="Y58" s="60"/>
      <c r="Z58" s="33">
        <f t="shared" si="1"/>
        <v>0</v>
      </c>
      <c r="AA58" s="33">
        <f t="shared" si="2"/>
        <v>0</v>
      </c>
      <c r="AB58" s="261"/>
      <c r="AC58" s="261"/>
      <c r="AD58" s="261"/>
      <c r="AE58" s="261"/>
      <c r="AF58" s="34" t="s">
        <v>100</v>
      </c>
    </row>
    <row r="59" spans="1:32" ht="15" customHeight="1" x14ac:dyDescent="0.35">
      <c r="A59" s="264"/>
      <c r="B59" s="272"/>
      <c r="C59" s="272"/>
      <c r="D59" s="25" t="s">
        <v>33</v>
      </c>
      <c r="E59" s="25" t="s">
        <v>34</v>
      </c>
      <c r="F59" s="55" t="s">
        <v>28</v>
      </c>
      <c r="G59" s="27" t="s">
        <v>29</v>
      </c>
      <c r="H59" s="27">
        <v>6</v>
      </c>
      <c r="I59" s="45">
        <f>4000/6</f>
        <v>666.66666666666663</v>
      </c>
      <c r="J59" s="45">
        <v>0</v>
      </c>
      <c r="K59" s="45">
        <v>4000</v>
      </c>
      <c r="L59" s="45"/>
      <c r="M59" s="45"/>
      <c r="N59" s="45"/>
      <c r="O59" s="45"/>
      <c r="P59" s="45"/>
      <c r="Q59" s="45"/>
      <c r="R59" s="45">
        <v>0</v>
      </c>
      <c r="S59" s="58">
        <v>0</v>
      </c>
      <c r="T59" s="58">
        <v>4000</v>
      </c>
      <c r="U59" s="58">
        <v>0</v>
      </c>
      <c r="V59" s="59"/>
      <c r="W59" s="31">
        <f t="shared" si="0"/>
        <v>0</v>
      </c>
      <c r="X59" s="60" t="e">
        <f>#REF!-W59</f>
        <v>#REF!</v>
      </c>
      <c r="Y59" s="60"/>
      <c r="Z59" s="33">
        <f t="shared" si="1"/>
        <v>4000</v>
      </c>
      <c r="AA59" s="33">
        <f t="shared" si="2"/>
        <v>0</v>
      </c>
      <c r="AB59" s="261"/>
      <c r="AC59" s="261"/>
      <c r="AD59" s="261"/>
      <c r="AE59" s="261"/>
      <c r="AF59" s="34" t="s">
        <v>101</v>
      </c>
    </row>
    <row r="60" spans="1:32" ht="15" customHeight="1" x14ac:dyDescent="0.35">
      <c r="A60" s="264"/>
      <c r="B60" s="272"/>
      <c r="C60" s="272"/>
      <c r="D60" s="25" t="s">
        <v>33</v>
      </c>
      <c r="E60" s="25" t="s">
        <v>34</v>
      </c>
      <c r="F60" s="55" t="s">
        <v>53</v>
      </c>
      <c r="G60" s="27" t="s">
        <v>62</v>
      </c>
      <c r="H60" s="27">
        <v>1</v>
      </c>
      <c r="I60" s="45">
        <v>8000</v>
      </c>
      <c r="J60" s="45">
        <v>0</v>
      </c>
      <c r="K60" s="45">
        <v>8000</v>
      </c>
      <c r="L60" s="45"/>
      <c r="M60" s="45"/>
      <c r="N60" s="45"/>
      <c r="O60" s="45"/>
      <c r="P60" s="45"/>
      <c r="Q60" s="45"/>
      <c r="R60" s="45">
        <v>0</v>
      </c>
      <c r="S60" s="58">
        <v>0</v>
      </c>
      <c r="T60" s="58">
        <v>8000</v>
      </c>
      <c r="U60" s="58">
        <v>0</v>
      </c>
      <c r="V60" s="59"/>
      <c r="W60" s="31">
        <f t="shared" si="0"/>
        <v>0</v>
      </c>
      <c r="X60" s="60" t="e">
        <f>#REF!-W60</f>
        <v>#REF!</v>
      </c>
      <c r="Y60" s="60"/>
      <c r="Z60" s="33">
        <f t="shared" si="1"/>
        <v>8000</v>
      </c>
      <c r="AA60" s="33">
        <f t="shared" si="2"/>
        <v>0</v>
      </c>
      <c r="AB60" s="262"/>
      <c r="AC60" s="262"/>
      <c r="AD60" s="261"/>
      <c r="AE60" s="261"/>
      <c r="AF60" s="34" t="s">
        <v>102</v>
      </c>
    </row>
    <row r="61" spans="1:32" ht="15" customHeight="1" x14ac:dyDescent="0.35">
      <c r="A61" s="264"/>
      <c r="B61" s="272"/>
      <c r="C61" s="39"/>
      <c r="D61" s="39"/>
      <c r="E61" s="39"/>
      <c r="F61" s="57"/>
      <c r="G61" s="41"/>
      <c r="H61" s="41"/>
      <c r="I61" s="54"/>
      <c r="J61" s="54">
        <f>SUM(J54:J60)</f>
        <v>153999.999996</v>
      </c>
      <c r="K61" s="54">
        <f t="shared" ref="K61:AC61" si="9">SUM(K54:K60)</f>
        <v>42800</v>
      </c>
      <c r="L61" s="54">
        <f t="shared" si="9"/>
        <v>12437</v>
      </c>
      <c r="M61" s="54">
        <f t="shared" si="9"/>
        <v>0</v>
      </c>
      <c r="N61" s="54">
        <f t="shared" si="9"/>
        <v>0</v>
      </c>
      <c r="O61" s="54">
        <f t="shared" si="9"/>
        <v>4316</v>
      </c>
      <c r="P61" s="54">
        <f t="shared" si="9"/>
        <v>0</v>
      </c>
      <c r="Q61" s="54">
        <f t="shared" si="9"/>
        <v>0</v>
      </c>
      <c r="R61" s="54">
        <f t="shared" si="9"/>
        <v>141562.999996</v>
      </c>
      <c r="S61" s="54">
        <f t="shared" si="9"/>
        <v>105563</v>
      </c>
      <c r="T61" s="54">
        <f t="shared" si="9"/>
        <v>30000</v>
      </c>
      <c r="U61" s="54">
        <f t="shared" si="9"/>
        <v>36000</v>
      </c>
      <c r="V61" s="54">
        <f t="shared" si="9"/>
        <v>6000</v>
      </c>
      <c r="W61" s="54">
        <f t="shared" si="9"/>
        <v>154000</v>
      </c>
      <c r="X61" s="54" t="e">
        <f t="shared" si="9"/>
        <v>#REF!</v>
      </c>
      <c r="Y61" s="54">
        <f t="shared" si="9"/>
        <v>0</v>
      </c>
      <c r="Z61" s="54">
        <f t="shared" si="9"/>
        <v>40316</v>
      </c>
      <c r="AA61" s="54">
        <f t="shared" si="9"/>
        <v>-4.0000013541430235E-6</v>
      </c>
      <c r="AB61" s="54">
        <f t="shared" si="9"/>
        <v>154000</v>
      </c>
      <c r="AC61" s="54">
        <f t="shared" si="9"/>
        <v>40316</v>
      </c>
      <c r="AD61" s="261"/>
      <c r="AE61" s="261"/>
      <c r="AF61" s="49"/>
    </row>
    <row r="62" spans="1:32" ht="15" customHeight="1" x14ac:dyDescent="0.35">
      <c r="A62" s="264"/>
      <c r="B62" s="272"/>
      <c r="C62" s="272" t="s">
        <v>103</v>
      </c>
      <c r="D62" s="25" t="s">
        <v>17</v>
      </c>
      <c r="E62" s="25" t="s">
        <v>104</v>
      </c>
      <c r="F62" s="55" t="s">
        <v>28</v>
      </c>
      <c r="G62" s="27" t="s">
        <v>29</v>
      </c>
      <c r="H62" s="27">
        <v>6</v>
      </c>
      <c r="I62" s="45">
        <v>2916.6666</v>
      </c>
      <c r="J62" s="45">
        <v>99249.999599999996</v>
      </c>
      <c r="K62" s="45">
        <v>0</v>
      </c>
      <c r="L62" s="45">
        <v>6029.78</v>
      </c>
      <c r="M62" s="45"/>
      <c r="N62" s="45">
        <v>13250.970094363673</v>
      </c>
      <c r="O62" s="45">
        <v>0</v>
      </c>
      <c r="P62" s="45">
        <v>95361.774087991595</v>
      </c>
      <c r="Q62" s="45">
        <v>0</v>
      </c>
      <c r="R62" s="45">
        <v>-15392.524582355269</v>
      </c>
      <c r="S62" s="58">
        <v>0</v>
      </c>
      <c r="T62" s="58">
        <v>0</v>
      </c>
      <c r="U62" s="58">
        <v>0</v>
      </c>
      <c r="V62" s="59"/>
      <c r="W62" s="31">
        <f t="shared" si="0"/>
        <v>114642.52418235526</v>
      </c>
      <c r="X62" s="60" t="e">
        <f>#REF!-W62</f>
        <v>#REF!</v>
      </c>
      <c r="Y62" s="60"/>
      <c r="Z62" s="33">
        <f t="shared" si="1"/>
        <v>0</v>
      </c>
      <c r="AA62" s="33">
        <f t="shared" si="2"/>
        <v>-15392.524582355269</v>
      </c>
      <c r="AB62" s="260">
        <f>SUM(W62:W68)</f>
        <v>268000.00290028256</v>
      </c>
      <c r="AC62" s="260">
        <f>SUM(Z62:Z68)</f>
        <v>73372.133826153033</v>
      </c>
      <c r="AD62" s="261"/>
      <c r="AE62" s="261"/>
      <c r="AF62" s="34" t="s">
        <v>105</v>
      </c>
    </row>
    <row r="63" spans="1:32" ht="15" customHeight="1" x14ac:dyDescent="0.35">
      <c r="A63" s="264"/>
      <c r="B63" s="272"/>
      <c r="C63" s="272"/>
      <c r="D63" s="25" t="s">
        <v>31</v>
      </c>
      <c r="E63" s="25" t="s">
        <v>104</v>
      </c>
      <c r="F63" s="55" t="s">
        <v>28</v>
      </c>
      <c r="G63" s="27" t="s">
        <v>29</v>
      </c>
      <c r="H63" s="27">
        <v>12</v>
      </c>
      <c r="I63" s="45">
        <f>19600/12</f>
        <v>1633.3333333333333</v>
      </c>
      <c r="J63" s="45">
        <v>0</v>
      </c>
      <c r="K63" s="45">
        <v>19600</v>
      </c>
      <c r="L63" s="45"/>
      <c r="M63" s="45"/>
      <c r="N63" s="45"/>
      <c r="O63" s="45">
        <v>30.199887818181811</v>
      </c>
      <c r="P63" s="45">
        <v>0</v>
      </c>
      <c r="Q63" s="45">
        <v>1295.4701197166669</v>
      </c>
      <c r="R63" s="45">
        <v>0</v>
      </c>
      <c r="S63" s="58">
        <v>0</v>
      </c>
      <c r="T63" s="58">
        <v>18708.47</v>
      </c>
      <c r="U63" s="58">
        <v>0</v>
      </c>
      <c r="V63" s="59"/>
      <c r="W63" s="31">
        <f t="shared" si="0"/>
        <v>0</v>
      </c>
      <c r="X63" s="60" t="e">
        <f>#REF!-W63</f>
        <v>#REF!</v>
      </c>
      <c r="Y63" s="60"/>
      <c r="Z63" s="33">
        <f t="shared" si="1"/>
        <v>20034.14000753485</v>
      </c>
      <c r="AA63" s="33">
        <f t="shared" si="2"/>
        <v>0</v>
      </c>
      <c r="AB63" s="261"/>
      <c r="AC63" s="261"/>
      <c r="AD63" s="261"/>
      <c r="AE63" s="261"/>
      <c r="AF63" s="34" t="s">
        <v>106</v>
      </c>
    </row>
    <row r="64" spans="1:32" ht="15" customHeight="1" x14ac:dyDescent="0.35">
      <c r="A64" s="264"/>
      <c r="B64" s="272"/>
      <c r="C64" s="272"/>
      <c r="D64" s="25" t="s">
        <v>17</v>
      </c>
      <c r="E64" s="25" t="s">
        <v>104</v>
      </c>
      <c r="F64" s="55" t="s">
        <v>28</v>
      </c>
      <c r="G64" s="27" t="s">
        <v>29</v>
      </c>
      <c r="H64" s="27">
        <v>12</v>
      </c>
      <c r="I64" s="45">
        <f>150000/12</f>
        <v>12500</v>
      </c>
      <c r="J64" s="45">
        <v>150000</v>
      </c>
      <c r="K64" s="45">
        <v>0</v>
      </c>
      <c r="L64" s="45">
        <v>4610</v>
      </c>
      <c r="M64" s="45"/>
      <c r="N64" s="45">
        <v>312.23196403636399</v>
      </c>
      <c r="O64" s="45">
        <v>0</v>
      </c>
      <c r="P64" s="45">
        <v>2.9488000000000001E-3</v>
      </c>
      <c r="Q64" s="45">
        <v>0</v>
      </c>
      <c r="R64" s="45">
        <v>145077.76508716363</v>
      </c>
      <c r="S64" s="58">
        <v>72540</v>
      </c>
      <c r="T64" s="58">
        <v>0</v>
      </c>
      <c r="U64" s="58">
        <v>57145.25</v>
      </c>
      <c r="V64" s="59"/>
      <c r="W64" s="31">
        <f t="shared" si="0"/>
        <v>134607.48491283637</v>
      </c>
      <c r="X64" s="60" t="e">
        <f>#REF!-W64</f>
        <v>#REF!</v>
      </c>
      <c r="Y64" s="60"/>
      <c r="Z64" s="33">
        <f t="shared" si="1"/>
        <v>0</v>
      </c>
      <c r="AA64" s="33">
        <f t="shared" si="2"/>
        <v>15392.515087163629</v>
      </c>
      <c r="AB64" s="261"/>
      <c r="AC64" s="261"/>
      <c r="AD64" s="261"/>
      <c r="AE64" s="261"/>
      <c r="AF64" s="34" t="s">
        <v>107</v>
      </c>
    </row>
    <row r="65" spans="1:32" ht="15" customHeight="1" x14ac:dyDescent="0.35">
      <c r="A65" s="264"/>
      <c r="B65" s="272"/>
      <c r="C65" s="272"/>
      <c r="D65" s="25" t="s">
        <v>31</v>
      </c>
      <c r="E65" s="25" t="s">
        <v>104</v>
      </c>
      <c r="F65" s="55" t="s">
        <v>28</v>
      </c>
      <c r="G65" s="27" t="s">
        <v>29</v>
      </c>
      <c r="H65" s="27">
        <v>12</v>
      </c>
      <c r="I65" s="45">
        <f>30000/12</f>
        <v>2500</v>
      </c>
      <c r="J65" s="45">
        <v>0</v>
      </c>
      <c r="K65" s="45">
        <v>30000</v>
      </c>
      <c r="L65" s="45"/>
      <c r="M65" s="45"/>
      <c r="N65" s="45"/>
      <c r="O65" s="45">
        <v>30.2041394181818</v>
      </c>
      <c r="P65" s="45">
        <v>0</v>
      </c>
      <c r="Q65" s="45">
        <v>-1.03208E-2</v>
      </c>
      <c r="R65" s="45">
        <v>0</v>
      </c>
      <c r="S65" s="58"/>
      <c r="T65" s="58">
        <v>29509.8</v>
      </c>
      <c r="U65" s="58">
        <v>0</v>
      </c>
      <c r="V65" s="59"/>
      <c r="W65" s="31">
        <f t="shared" si="0"/>
        <v>0</v>
      </c>
      <c r="X65" s="60" t="e">
        <f>#REF!-W65</f>
        <v>#REF!</v>
      </c>
      <c r="Y65" s="60"/>
      <c r="Z65" s="33">
        <f t="shared" si="1"/>
        <v>29539.993818618183</v>
      </c>
      <c r="AA65" s="33">
        <f t="shared" si="2"/>
        <v>0</v>
      </c>
      <c r="AB65" s="261"/>
      <c r="AC65" s="261"/>
      <c r="AD65" s="261"/>
      <c r="AE65" s="261"/>
      <c r="AF65" s="34" t="s">
        <v>108</v>
      </c>
    </row>
    <row r="66" spans="1:32" ht="15" customHeight="1" x14ac:dyDescent="0.35">
      <c r="A66" s="264"/>
      <c r="B66" s="272"/>
      <c r="C66" s="272"/>
      <c r="D66" s="25" t="s">
        <v>33</v>
      </c>
      <c r="E66" s="25" t="s">
        <v>34</v>
      </c>
      <c r="F66" s="55" t="s">
        <v>28</v>
      </c>
      <c r="G66" s="27" t="s">
        <v>29</v>
      </c>
      <c r="H66" s="27">
        <v>6</v>
      </c>
      <c r="I66" s="45">
        <v>7666.67</v>
      </c>
      <c r="J66" s="45">
        <v>0</v>
      </c>
      <c r="K66" s="45">
        <v>22998</v>
      </c>
      <c r="L66" s="45"/>
      <c r="M66" s="45"/>
      <c r="N66" s="45"/>
      <c r="O66" s="45">
        <v>0</v>
      </c>
      <c r="P66" s="45">
        <v>0</v>
      </c>
      <c r="Q66" s="45">
        <v>0</v>
      </c>
      <c r="R66" s="45">
        <v>0</v>
      </c>
      <c r="S66" s="58"/>
      <c r="T66" s="58">
        <v>22998</v>
      </c>
      <c r="U66" s="58">
        <v>0</v>
      </c>
      <c r="V66" s="59"/>
      <c r="W66" s="31">
        <f t="shared" si="0"/>
        <v>0</v>
      </c>
      <c r="X66" s="60" t="e">
        <f>#REF!-W66</f>
        <v>#REF!</v>
      </c>
      <c r="Y66" s="60"/>
      <c r="Z66" s="33">
        <f t="shared" si="1"/>
        <v>22998</v>
      </c>
      <c r="AA66" s="33">
        <f t="shared" si="2"/>
        <v>0</v>
      </c>
      <c r="AB66" s="261"/>
      <c r="AC66" s="261"/>
      <c r="AD66" s="261"/>
      <c r="AE66" s="261"/>
      <c r="AF66" s="34" t="s">
        <v>109</v>
      </c>
    </row>
    <row r="67" spans="1:32" ht="15" customHeight="1" x14ac:dyDescent="0.35">
      <c r="A67" s="264"/>
      <c r="B67" s="272"/>
      <c r="C67" s="272"/>
      <c r="D67" s="25" t="s">
        <v>17</v>
      </c>
      <c r="E67" s="25" t="s">
        <v>104</v>
      </c>
      <c r="F67" s="55" t="s">
        <v>36</v>
      </c>
      <c r="G67" s="27" t="s">
        <v>55</v>
      </c>
      <c r="H67" s="27">
        <v>1</v>
      </c>
      <c r="I67" s="45">
        <v>5000</v>
      </c>
      <c r="J67" s="45">
        <v>18750</v>
      </c>
      <c r="K67" s="45">
        <v>0</v>
      </c>
      <c r="L67" s="45">
        <v>3762.14</v>
      </c>
      <c r="M67" s="45"/>
      <c r="N67" s="45">
        <v>2110.1438050909092</v>
      </c>
      <c r="O67" s="45">
        <v>0</v>
      </c>
      <c r="P67" s="45">
        <v>0</v>
      </c>
      <c r="Q67" s="45">
        <v>0</v>
      </c>
      <c r="R67" s="45">
        <v>12877.716194909091</v>
      </c>
      <c r="S67" s="58">
        <v>12877.71</v>
      </c>
      <c r="T67" s="58"/>
      <c r="U67" s="58">
        <v>0</v>
      </c>
      <c r="V67" s="59"/>
      <c r="W67" s="31">
        <f t="shared" si="0"/>
        <v>18749.993805090908</v>
      </c>
      <c r="X67" s="60" t="e">
        <f>#REF!-W67</f>
        <v>#REF!</v>
      </c>
      <c r="Y67" s="60"/>
      <c r="Z67" s="33">
        <f t="shared" si="1"/>
        <v>0</v>
      </c>
      <c r="AA67" s="33">
        <f t="shared" si="2"/>
        <v>6.1949090923008043E-3</v>
      </c>
      <c r="AB67" s="261"/>
      <c r="AC67" s="261"/>
      <c r="AD67" s="261"/>
      <c r="AE67" s="261"/>
      <c r="AF67" s="34" t="s">
        <v>110</v>
      </c>
    </row>
    <row r="68" spans="1:32" ht="15" customHeight="1" x14ac:dyDescent="0.35">
      <c r="A68" s="264"/>
      <c r="B68" s="272"/>
      <c r="C68" s="272"/>
      <c r="D68" s="25" t="s">
        <v>33</v>
      </c>
      <c r="E68" s="25" t="s">
        <v>34</v>
      </c>
      <c r="F68" s="55" t="s">
        <v>53</v>
      </c>
      <c r="G68" s="27" t="s">
        <v>62</v>
      </c>
      <c r="H68" s="27">
        <v>4</v>
      </c>
      <c r="I68" s="45">
        <v>200</v>
      </c>
      <c r="J68" s="45">
        <v>0</v>
      </c>
      <c r="K68" s="45">
        <v>800</v>
      </c>
      <c r="L68" s="45"/>
      <c r="M68" s="45"/>
      <c r="N68" s="45"/>
      <c r="O68" s="45">
        <v>0</v>
      </c>
      <c r="P68" s="45">
        <v>0</v>
      </c>
      <c r="Q68" s="45">
        <v>0</v>
      </c>
      <c r="R68" s="45">
        <v>0</v>
      </c>
      <c r="S68" s="58">
        <v>0</v>
      </c>
      <c r="T68" s="58">
        <v>800</v>
      </c>
      <c r="U68" s="58">
        <v>0</v>
      </c>
      <c r="V68" s="59"/>
      <c r="W68" s="31">
        <f t="shared" si="0"/>
        <v>0</v>
      </c>
      <c r="X68" s="60" t="e">
        <f>#REF!-W68</f>
        <v>#REF!</v>
      </c>
      <c r="Y68" s="60"/>
      <c r="Z68" s="33">
        <f t="shared" si="1"/>
        <v>800</v>
      </c>
      <c r="AA68" s="33">
        <f t="shared" si="2"/>
        <v>0</v>
      </c>
      <c r="AB68" s="262"/>
      <c r="AC68" s="262"/>
      <c r="AD68" s="261"/>
      <c r="AE68" s="261"/>
      <c r="AF68" s="34" t="s">
        <v>111</v>
      </c>
    </row>
    <row r="69" spans="1:32" ht="15" customHeight="1" x14ac:dyDescent="0.35">
      <c r="A69" s="264"/>
      <c r="B69" s="25"/>
      <c r="C69" s="39"/>
      <c r="D69" s="39"/>
      <c r="E69" s="39"/>
      <c r="F69" s="57"/>
      <c r="G69" s="41"/>
      <c r="H69" s="41"/>
      <c r="I69" s="54"/>
      <c r="J69" s="54">
        <f>SUM(J62:J68)</f>
        <v>267999.99959999998</v>
      </c>
      <c r="K69" s="54">
        <f t="shared" ref="K69:AC69" si="10">SUM(K62:K68)</f>
        <v>73398</v>
      </c>
      <c r="L69" s="54">
        <f t="shared" si="10"/>
        <v>14401.919999999998</v>
      </c>
      <c r="M69" s="54">
        <f t="shared" si="10"/>
        <v>0</v>
      </c>
      <c r="N69" s="54">
        <f t="shared" si="10"/>
        <v>15673.345863490946</v>
      </c>
      <c r="O69" s="54">
        <f t="shared" si="10"/>
        <v>60.404027236363611</v>
      </c>
      <c r="P69" s="54">
        <f t="shared" si="10"/>
        <v>95361.777036791595</v>
      </c>
      <c r="Q69" s="54">
        <f t="shared" si="10"/>
        <v>1295.4597989166668</v>
      </c>
      <c r="R69" s="54">
        <f t="shared" si="10"/>
        <v>142562.95669971744</v>
      </c>
      <c r="S69" s="54">
        <f t="shared" si="10"/>
        <v>85417.709999999992</v>
      </c>
      <c r="T69" s="54">
        <f t="shared" si="10"/>
        <v>72016.27</v>
      </c>
      <c r="U69" s="54">
        <f t="shared" si="10"/>
        <v>57145.25</v>
      </c>
      <c r="V69" s="54">
        <f t="shared" si="10"/>
        <v>0</v>
      </c>
      <c r="W69" s="54">
        <f t="shared" si="10"/>
        <v>268000.00290028256</v>
      </c>
      <c r="X69" s="54" t="e">
        <f t="shared" si="10"/>
        <v>#REF!</v>
      </c>
      <c r="Y69" s="54">
        <f t="shared" si="10"/>
        <v>0</v>
      </c>
      <c r="Z69" s="54">
        <f t="shared" si="10"/>
        <v>73372.133826153033</v>
      </c>
      <c r="AA69" s="54">
        <f t="shared" si="10"/>
        <v>-3.3002825475705322E-3</v>
      </c>
      <c r="AB69" s="54">
        <f t="shared" si="10"/>
        <v>268000.00290028256</v>
      </c>
      <c r="AC69" s="54">
        <f t="shared" si="10"/>
        <v>73372.133826153033</v>
      </c>
      <c r="AD69" s="261"/>
      <c r="AE69" s="261"/>
      <c r="AF69" s="49"/>
    </row>
    <row r="70" spans="1:32" ht="15" customHeight="1" x14ac:dyDescent="0.35">
      <c r="A70" s="264"/>
      <c r="B70" s="272" t="s">
        <v>112</v>
      </c>
      <c r="C70" s="272" t="s">
        <v>113</v>
      </c>
      <c r="D70" s="25" t="s">
        <v>17</v>
      </c>
      <c r="E70" s="50" t="s">
        <v>34</v>
      </c>
      <c r="F70" s="55" t="s">
        <v>28</v>
      </c>
      <c r="G70" s="27" t="s">
        <v>44</v>
      </c>
      <c r="H70" s="27">
        <v>0.25</v>
      </c>
      <c r="I70" s="35">
        <v>38000</v>
      </c>
      <c r="J70" s="35">
        <v>28874</v>
      </c>
      <c r="K70" s="35">
        <v>0</v>
      </c>
      <c r="L70" s="35">
        <v>5014.1499999999996</v>
      </c>
      <c r="M70" s="35"/>
      <c r="N70" s="35">
        <v>7171.34</v>
      </c>
      <c r="O70" s="35"/>
      <c r="P70" s="35">
        <v>6630.9400000000005</v>
      </c>
      <c r="Q70" s="35"/>
      <c r="R70" s="35">
        <v>10057.57</v>
      </c>
      <c r="S70" s="61">
        <v>2198.0100000000002</v>
      </c>
      <c r="T70" s="61"/>
      <c r="U70" s="61"/>
      <c r="V70" s="62"/>
      <c r="W70" s="31">
        <f t="shared" si="0"/>
        <v>21014.440000000002</v>
      </c>
      <c r="X70" s="60" t="e">
        <f>#REF!-W70</f>
        <v>#REF!</v>
      </c>
      <c r="Y70" s="60">
        <v>7859.56</v>
      </c>
      <c r="Z70" s="33">
        <f t="shared" si="1"/>
        <v>0</v>
      </c>
      <c r="AA70" s="33">
        <f t="shared" si="2"/>
        <v>7859.5599999999977</v>
      </c>
      <c r="AB70" s="260">
        <f>SUM(W70:W83)</f>
        <v>267274</v>
      </c>
      <c r="AC70" s="260">
        <f>SUM(Z70:Z83)</f>
        <v>10000</v>
      </c>
      <c r="AD70" s="261"/>
      <c r="AE70" s="261"/>
      <c r="AF70" s="34" t="s">
        <v>114</v>
      </c>
    </row>
    <row r="71" spans="1:32" ht="15" customHeight="1" x14ac:dyDescent="0.35">
      <c r="A71" s="264"/>
      <c r="B71" s="272"/>
      <c r="C71" s="272"/>
      <c r="D71" s="25" t="s">
        <v>33</v>
      </c>
      <c r="E71" s="50" t="s">
        <v>34</v>
      </c>
      <c r="F71" s="55" t="s">
        <v>28</v>
      </c>
      <c r="G71" s="27" t="s">
        <v>29</v>
      </c>
      <c r="H71" s="27">
        <v>20</v>
      </c>
      <c r="I71" s="35">
        <v>500</v>
      </c>
      <c r="J71" s="35">
        <v>0</v>
      </c>
      <c r="K71" s="35">
        <v>10000</v>
      </c>
      <c r="L71" s="35"/>
      <c r="M71" s="35"/>
      <c r="N71" s="35"/>
      <c r="O71" s="35"/>
      <c r="P71" s="35">
        <v>0</v>
      </c>
      <c r="Q71" s="35"/>
      <c r="R71" s="35">
        <v>0</v>
      </c>
      <c r="S71" s="61"/>
      <c r="T71" s="61">
        <v>5000</v>
      </c>
      <c r="U71" s="61"/>
      <c r="V71" s="62">
        <v>5000</v>
      </c>
      <c r="W71" s="31">
        <f t="shared" si="0"/>
        <v>0</v>
      </c>
      <c r="X71" s="60" t="e">
        <f>#REF!-W71</f>
        <v>#REF!</v>
      </c>
      <c r="Y71" s="60"/>
      <c r="Z71" s="33">
        <f t="shared" si="1"/>
        <v>10000</v>
      </c>
      <c r="AA71" s="33">
        <f t="shared" si="2"/>
        <v>0</v>
      </c>
      <c r="AB71" s="261"/>
      <c r="AC71" s="261"/>
      <c r="AD71" s="261"/>
      <c r="AE71" s="261"/>
      <c r="AF71" s="34" t="s">
        <v>115</v>
      </c>
    </row>
    <row r="72" spans="1:32" ht="15" customHeight="1" x14ac:dyDescent="0.35">
      <c r="A72" s="264"/>
      <c r="B72" s="272"/>
      <c r="C72" s="272"/>
      <c r="D72" s="25" t="s">
        <v>17</v>
      </c>
      <c r="E72" s="50" t="s">
        <v>34</v>
      </c>
      <c r="F72" s="55" t="s">
        <v>57</v>
      </c>
      <c r="G72" s="27" t="s">
        <v>58</v>
      </c>
      <c r="H72" s="27">
        <v>120</v>
      </c>
      <c r="I72" s="35">
        <v>600</v>
      </c>
      <c r="J72" s="35">
        <v>72000</v>
      </c>
      <c r="K72" s="35">
        <v>0</v>
      </c>
      <c r="L72" s="35"/>
      <c r="M72" s="35"/>
      <c r="N72" s="35"/>
      <c r="O72" s="35"/>
      <c r="P72" s="35">
        <v>0</v>
      </c>
      <c r="Q72" s="35"/>
      <c r="R72" s="35">
        <v>72000</v>
      </c>
      <c r="S72" s="61">
        <v>36000</v>
      </c>
      <c r="T72" s="61"/>
      <c r="U72" s="61">
        <v>36000</v>
      </c>
      <c r="V72" s="62"/>
      <c r="W72" s="31">
        <f t="shared" si="0"/>
        <v>72000</v>
      </c>
      <c r="X72" s="60" t="e">
        <f>#REF!-W72</f>
        <v>#REF!</v>
      </c>
      <c r="Y72" s="60"/>
      <c r="Z72" s="33">
        <f t="shared" si="1"/>
        <v>0</v>
      </c>
      <c r="AA72" s="33">
        <f t="shared" si="2"/>
        <v>0</v>
      </c>
      <c r="AB72" s="261"/>
      <c r="AC72" s="261"/>
      <c r="AD72" s="261"/>
      <c r="AE72" s="261"/>
      <c r="AF72" s="34" t="s">
        <v>116</v>
      </c>
    </row>
    <row r="73" spans="1:32" ht="15" customHeight="1" x14ac:dyDescent="0.35">
      <c r="A73" s="264"/>
      <c r="B73" s="272"/>
      <c r="C73" s="272"/>
      <c r="D73" s="25" t="s">
        <v>17</v>
      </c>
      <c r="E73" s="50" t="s">
        <v>34</v>
      </c>
      <c r="F73" s="55" t="s">
        <v>36</v>
      </c>
      <c r="G73" s="27" t="s">
        <v>55</v>
      </c>
      <c r="H73" s="27">
        <v>4</v>
      </c>
      <c r="I73" s="35">
        <v>3500</v>
      </c>
      <c r="J73" s="35">
        <v>14000</v>
      </c>
      <c r="K73" s="35">
        <v>0</v>
      </c>
      <c r="L73" s="35"/>
      <c r="M73" s="35"/>
      <c r="N73" s="35"/>
      <c r="O73" s="35"/>
      <c r="P73" s="35">
        <v>0</v>
      </c>
      <c r="Q73" s="35"/>
      <c r="R73" s="35">
        <v>14000</v>
      </c>
      <c r="S73" s="61">
        <v>7000</v>
      </c>
      <c r="T73" s="61"/>
      <c r="U73" s="61">
        <v>7000</v>
      </c>
      <c r="V73" s="62"/>
      <c r="W73" s="31">
        <f t="shared" si="0"/>
        <v>14000</v>
      </c>
      <c r="X73" s="60" t="e">
        <f>#REF!-W73</f>
        <v>#REF!</v>
      </c>
      <c r="Y73" s="60"/>
      <c r="Z73" s="33">
        <f t="shared" si="1"/>
        <v>0</v>
      </c>
      <c r="AA73" s="33">
        <f t="shared" si="2"/>
        <v>0</v>
      </c>
      <c r="AB73" s="261"/>
      <c r="AC73" s="261"/>
      <c r="AD73" s="261"/>
      <c r="AE73" s="261"/>
      <c r="AF73" s="34" t="s">
        <v>117</v>
      </c>
    </row>
    <row r="74" spans="1:32" ht="15" customHeight="1" x14ac:dyDescent="0.35">
      <c r="A74" s="264"/>
      <c r="B74" s="272"/>
      <c r="C74" s="272"/>
      <c r="D74" s="25" t="s">
        <v>17</v>
      </c>
      <c r="E74" s="50" t="s">
        <v>34</v>
      </c>
      <c r="F74" s="55" t="s">
        <v>118</v>
      </c>
      <c r="G74" s="27" t="s">
        <v>62</v>
      </c>
      <c r="H74" s="27">
        <v>1</v>
      </c>
      <c r="I74" s="35">
        <v>30000</v>
      </c>
      <c r="J74" s="35">
        <v>30000</v>
      </c>
      <c r="K74" s="35">
        <v>0</v>
      </c>
      <c r="L74" s="35"/>
      <c r="M74" s="35"/>
      <c r="N74" s="35"/>
      <c r="O74" s="35"/>
      <c r="P74" s="63">
        <v>0</v>
      </c>
      <c r="Q74" s="63"/>
      <c r="R74" s="63">
        <v>30000</v>
      </c>
      <c r="S74" s="61">
        <v>30000</v>
      </c>
      <c r="T74" s="61"/>
      <c r="U74" s="61"/>
      <c r="V74" s="62"/>
      <c r="W74" s="31">
        <f t="shared" ref="W74:W136" si="11">L74+N74+P74+S74+U74</f>
        <v>30000</v>
      </c>
      <c r="X74" s="60" t="e">
        <f>#REF!-W74</f>
        <v>#REF!</v>
      </c>
      <c r="Y74" s="60"/>
      <c r="Z74" s="33">
        <f t="shared" ref="Z74:Z136" si="12">M74+O74+Q74+T74+V74</f>
        <v>0</v>
      </c>
      <c r="AA74" s="33">
        <f t="shared" ref="AA74:AA136" si="13">J74-W74</f>
        <v>0</v>
      </c>
      <c r="AB74" s="261"/>
      <c r="AC74" s="261"/>
      <c r="AD74" s="261"/>
      <c r="AE74" s="261"/>
      <c r="AF74" s="34" t="s">
        <v>119</v>
      </c>
    </row>
    <row r="75" spans="1:32" ht="15" customHeight="1" x14ac:dyDescent="0.35">
      <c r="A75" s="264"/>
      <c r="B75" s="272"/>
      <c r="C75" s="272"/>
      <c r="D75" s="179" t="s">
        <v>17</v>
      </c>
      <c r="E75" s="180" t="s">
        <v>34</v>
      </c>
      <c r="F75" s="181" t="s">
        <v>120</v>
      </c>
      <c r="G75" s="182"/>
      <c r="H75" s="182"/>
      <c r="I75" s="183"/>
      <c r="J75" s="183"/>
      <c r="K75" s="183"/>
      <c r="L75" s="183"/>
      <c r="M75" s="183"/>
      <c r="N75" s="183"/>
      <c r="O75" s="183"/>
      <c r="P75" s="183"/>
      <c r="Q75" s="183"/>
      <c r="R75" s="183"/>
      <c r="S75" s="184">
        <v>8200</v>
      </c>
      <c r="T75" s="184"/>
      <c r="U75" s="184"/>
      <c r="V75" s="185"/>
      <c r="W75" s="31">
        <f t="shared" si="11"/>
        <v>8200</v>
      </c>
      <c r="X75" s="60" t="e">
        <f>#REF!-W75</f>
        <v>#REF!</v>
      </c>
      <c r="Y75" s="60"/>
      <c r="Z75" s="33">
        <f t="shared" si="12"/>
        <v>0</v>
      </c>
      <c r="AA75" s="33">
        <f t="shared" si="13"/>
        <v>-8200</v>
      </c>
      <c r="AB75" s="261"/>
      <c r="AC75" s="261"/>
      <c r="AD75" s="261"/>
      <c r="AE75" s="261"/>
      <c r="AF75" s="178" t="s">
        <v>121</v>
      </c>
    </row>
    <row r="76" spans="1:32" ht="15" customHeight="1" x14ac:dyDescent="0.35">
      <c r="A76" s="264"/>
      <c r="B76" s="272"/>
      <c r="C76" s="272"/>
      <c r="D76" s="25" t="s">
        <v>17</v>
      </c>
      <c r="E76" s="50" t="s">
        <v>34</v>
      </c>
      <c r="F76" s="55" t="s">
        <v>64</v>
      </c>
      <c r="G76" s="27" t="s">
        <v>62</v>
      </c>
      <c r="H76" s="27">
        <v>1</v>
      </c>
      <c r="I76" s="35">
        <v>77000</v>
      </c>
      <c r="J76" s="35">
        <v>77000</v>
      </c>
      <c r="K76" s="35">
        <v>0</v>
      </c>
      <c r="L76" s="35"/>
      <c r="M76" s="35"/>
      <c r="N76" s="35"/>
      <c r="O76" s="35"/>
      <c r="P76" s="35">
        <v>0</v>
      </c>
      <c r="Q76" s="35"/>
      <c r="R76" s="35">
        <v>77000</v>
      </c>
      <c r="S76" s="61">
        <v>47660</v>
      </c>
      <c r="T76" s="61"/>
      <c r="U76" s="61">
        <v>5000</v>
      </c>
      <c r="V76" s="62"/>
      <c r="W76" s="31">
        <f t="shared" si="11"/>
        <v>52660</v>
      </c>
      <c r="X76" s="60" t="e">
        <f>#REF!-W76</f>
        <v>#REF!</v>
      </c>
      <c r="Y76" s="60" t="e">
        <f>#REF!-#REF!</f>
        <v>#REF!</v>
      </c>
      <c r="Z76" s="33">
        <f t="shared" si="12"/>
        <v>0</v>
      </c>
      <c r="AA76" s="33">
        <f t="shared" si="13"/>
        <v>24340</v>
      </c>
      <c r="AB76" s="261"/>
      <c r="AC76" s="261"/>
      <c r="AD76" s="261"/>
      <c r="AE76" s="261"/>
      <c r="AF76" s="34" t="s">
        <v>122</v>
      </c>
    </row>
    <row r="77" spans="1:32" ht="15" customHeight="1" x14ac:dyDescent="0.35">
      <c r="A77" s="264"/>
      <c r="B77" s="272"/>
      <c r="C77" s="272"/>
      <c r="D77" s="25" t="s">
        <v>17</v>
      </c>
      <c r="E77" s="50" t="s">
        <v>34</v>
      </c>
      <c r="F77" s="55" t="s">
        <v>123</v>
      </c>
      <c r="G77" s="27" t="s">
        <v>37</v>
      </c>
      <c r="H77" s="27">
        <v>1</v>
      </c>
      <c r="I77" s="35">
        <v>2000</v>
      </c>
      <c r="J77" s="35">
        <v>2000</v>
      </c>
      <c r="K77" s="35">
        <v>0</v>
      </c>
      <c r="L77" s="35"/>
      <c r="M77" s="35"/>
      <c r="N77" s="35"/>
      <c r="O77" s="35"/>
      <c r="P77" s="35">
        <v>0</v>
      </c>
      <c r="Q77" s="35"/>
      <c r="R77" s="35">
        <v>2000</v>
      </c>
      <c r="S77" s="61">
        <v>4800</v>
      </c>
      <c r="T77" s="61"/>
      <c r="U77" s="61"/>
      <c r="V77" s="62"/>
      <c r="W77" s="31">
        <f t="shared" si="11"/>
        <v>4800</v>
      </c>
      <c r="X77" s="60" t="e">
        <f>#REF!-W77</f>
        <v>#REF!</v>
      </c>
      <c r="Y77" s="60"/>
      <c r="Z77" s="33">
        <f t="shared" si="12"/>
        <v>0</v>
      </c>
      <c r="AA77" s="33">
        <f t="shared" si="13"/>
        <v>-2800</v>
      </c>
      <c r="AB77" s="261"/>
      <c r="AC77" s="261"/>
      <c r="AD77" s="261"/>
      <c r="AE77" s="261"/>
      <c r="AF77" s="34" t="s">
        <v>124</v>
      </c>
    </row>
    <row r="78" spans="1:32" ht="15" customHeight="1" x14ac:dyDescent="0.35">
      <c r="A78" s="264"/>
      <c r="B78" s="272"/>
      <c r="C78" s="272"/>
      <c r="D78" s="25" t="s">
        <v>17</v>
      </c>
      <c r="E78" s="50" t="s">
        <v>34</v>
      </c>
      <c r="F78" s="55" t="s">
        <v>53</v>
      </c>
      <c r="G78" s="27" t="s">
        <v>62</v>
      </c>
      <c r="H78" s="27">
        <v>1</v>
      </c>
      <c r="I78" s="35">
        <v>5000</v>
      </c>
      <c r="J78" s="35">
        <v>5000</v>
      </c>
      <c r="K78" s="35">
        <v>0</v>
      </c>
      <c r="L78" s="35"/>
      <c r="M78" s="35"/>
      <c r="N78" s="35"/>
      <c r="O78" s="35"/>
      <c r="P78" s="35">
        <v>0</v>
      </c>
      <c r="Q78" s="35"/>
      <c r="R78" s="35">
        <v>5000</v>
      </c>
      <c r="S78" s="61">
        <v>5000</v>
      </c>
      <c r="T78" s="61"/>
      <c r="U78" s="61"/>
      <c r="V78" s="62"/>
      <c r="W78" s="31">
        <f t="shared" si="11"/>
        <v>5000</v>
      </c>
      <c r="X78" s="60" t="e">
        <f>#REF!-W78</f>
        <v>#REF!</v>
      </c>
      <c r="Y78" s="60"/>
      <c r="Z78" s="33">
        <f t="shared" si="12"/>
        <v>0</v>
      </c>
      <c r="AA78" s="33">
        <f t="shared" si="13"/>
        <v>0</v>
      </c>
      <c r="AB78" s="261"/>
      <c r="AC78" s="261"/>
      <c r="AD78" s="261"/>
      <c r="AE78" s="261"/>
      <c r="AF78" s="34" t="s">
        <v>125</v>
      </c>
    </row>
    <row r="79" spans="1:32" ht="15" customHeight="1" x14ac:dyDescent="0.35">
      <c r="A79" s="264"/>
      <c r="B79" s="272"/>
      <c r="C79" s="272"/>
      <c r="D79" s="25" t="s">
        <v>17</v>
      </c>
      <c r="E79" s="50" t="s">
        <v>34</v>
      </c>
      <c r="F79" s="55" t="s">
        <v>69</v>
      </c>
      <c r="G79" s="27" t="s">
        <v>55</v>
      </c>
      <c r="H79" s="27">
        <v>9</v>
      </c>
      <c r="I79" s="45">
        <v>2000</v>
      </c>
      <c r="J79" s="45">
        <v>19400</v>
      </c>
      <c r="K79" s="45">
        <v>0</v>
      </c>
      <c r="L79" s="45"/>
      <c r="M79" s="45"/>
      <c r="N79" s="35"/>
      <c r="O79" s="35"/>
      <c r="P79" s="35">
        <v>0</v>
      </c>
      <c r="Q79" s="35"/>
      <c r="R79" s="35">
        <v>19400</v>
      </c>
      <c r="S79" s="61">
        <f>18400+5000</f>
        <v>23400</v>
      </c>
      <c r="T79" s="61"/>
      <c r="U79" s="61">
        <v>27199.56</v>
      </c>
      <c r="V79" s="62"/>
      <c r="W79" s="31">
        <f t="shared" si="11"/>
        <v>50599.56</v>
      </c>
      <c r="X79" s="60" t="e">
        <f>#REF!-W79</f>
        <v>#REF!</v>
      </c>
      <c r="Y79" s="60"/>
      <c r="Z79" s="33">
        <f t="shared" si="12"/>
        <v>0</v>
      </c>
      <c r="AA79" s="33">
        <f t="shared" si="13"/>
        <v>-31199.559999999998</v>
      </c>
      <c r="AB79" s="261"/>
      <c r="AC79" s="261"/>
      <c r="AD79" s="261"/>
      <c r="AE79" s="261"/>
      <c r="AF79" s="34" t="s">
        <v>126</v>
      </c>
    </row>
    <row r="80" spans="1:32" ht="15" customHeight="1" x14ac:dyDescent="0.35">
      <c r="A80" s="264"/>
      <c r="B80" s="272"/>
      <c r="C80" s="272"/>
      <c r="D80" s="25" t="s">
        <v>17</v>
      </c>
      <c r="E80" s="50" t="s">
        <v>34</v>
      </c>
      <c r="F80" s="55" t="s">
        <v>127</v>
      </c>
      <c r="G80" s="27" t="s">
        <v>55</v>
      </c>
      <c r="H80" s="27">
        <v>4</v>
      </c>
      <c r="I80" s="35">
        <v>500</v>
      </c>
      <c r="J80" s="35">
        <v>2000</v>
      </c>
      <c r="K80" s="35">
        <v>0</v>
      </c>
      <c r="L80" s="35"/>
      <c r="M80" s="35"/>
      <c r="N80" s="45"/>
      <c r="O80" s="45"/>
      <c r="P80" s="45">
        <v>0</v>
      </c>
      <c r="Q80" s="45"/>
      <c r="R80" s="45">
        <v>2000</v>
      </c>
      <c r="S80" s="61">
        <v>0</v>
      </c>
      <c r="T80" s="61"/>
      <c r="U80" s="61">
        <v>0</v>
      </c>
      <c r="V80" s="62"/>
      <c r="W80" s="31">
        <f t="shared" si="11"/>
        <v>0</v>
      </c>
      <c r="X80" s="60" t="e">
        <f>#REF!-W80</f>
        <v>#REF!</v>
      </c>
      <c r="Y80" s="60"/>
      <c r="Z80" s="33">
        <f t="shared" si="12"/>
        <v>0</v>
      </c>
      <c r="AA80" s="33">
        <f t="shared" si="13"/>
        <v>2000</v>
      </c>
      <c r="AB80" s="261"/>
      <c r="AC80" s="261"/>
      <c r="AD80" s="261"/>
      <c r="AE80" s="261"/>
      <c r="AF80" s="34" t="s">
        <v>128</v>
      </c>
    </row>
    <row r="81" spans="1:32" ht="15" customHeight="1" x14ac:dyDescent="0.35">
      <c r="A81" s="264"/>
      <c r="B81" s="272"/>
      <c r="C81" s="272"/>
      <c r="D81" s="25" t="s">
        <v>17</v>
      </c>
      <c r="E81" s="50" t="s">
        <v>34</v>
      </c>
      <c r="F81" s="55" t="s">
        <v>39</v>
      </c>
      <c r="G81" s="27" t="s">
        <v>40</v>
      </c>
      <c r="H81" s="27">
        <v>2</v>
      </c>
      <c r="I81" s="35">
        <v>2500</v>
      </c>
      <c r="J81" s="35">
        <v>5000</v>
      </c>
      <c r="K81" s="35">
        <v>0</v>
      </c>
      <c r="L81" s="35"/>
      <c r="M81" s="35"/>
      <c r="N81" s="35"/>
      <c r="O81" s="35"/>
      <c r="P81" s="35">
        <v>0</v>
      </c>
      <c r="Q81" s="35"/>
      <c r="R81" s="35">
        <v>5000</v>
      </c>
      <c r="S81" s="61">
        <v>5000</v>
      </c>
      <c r="T81" s="61"/>
      <c r="U81" s="61"/>
      <c r="V81" s="62"/>
      <c r="W81" s="31">
        <f t="shared" si="11"/>
        <v>5000</v>
      </c>
      <c r="X81" s="60" t="e">
        <f>#REF!-W81</f>
        <v>#REF!</v>
      </c>
      <c r="Y81" s="60"/>
      <c r="Z81" s="33">
        <f t="shared" si="12"/>
        <v>0</v>
      </c>
      <c r="AA81" s="33">
        <f t="shared" si="13"/>
        <v>0</v>
      </c>
      <c r="AB81" s="261"/>
      <c r="AC81" s="261"/>
      <c r="AD81" s="261"/>
      <c r="AE81" s="261"/>
      <c r="AF81" s="34" t="s">
        <v>129</v>
      </c>
    </row>
    <row r="82" spans="1:32" ht="15" customHeight="1" x14ac:dyDescent="0.35">
      <c r="A82" s="264"/>
      <c r="B82" s="272"/>
      <c r="C82" s="272"/>
      <c r="D82" s="25" t="s">
        <v>17</v>
      </c>
      <c r="E82" s="50" t="s">
        <v>34</v>
      </c>
      <c r="F82" s="55" t="s">
        <v>130</v>
      </c>
      <c r="G82" s="27" t="s">
        <v>40</v>
      </c>
      <c r="H82" s="27">
        <v>4</v>
      </c>
      <c r="I82" s="35">
        <v>1000</v>
      </c>
      <c r="J82" s="35">
        <v>4000</v>
      </c>
      <c r="K82" s="35">
        <v>0</v>
      </c>
      <c r="L82" s="35"/>
      <c r="M82" s="35"/>
      <c r="N82" s="35"/>
      <c r="O82" s="35"/>
      <c r="P82" s="35">
        <v>0</v>
      </c>
      <c r="Q82" s="35"/>
      <c r="R82" s="35">
        <v>4000</v>
      </c>
      <c r="S82" s="61">
        <v>2000</v>
      </c>
      <c r="T82" s="61"/>
      <c r="U82" s="61">
        <v>2000</v>
      </c>
      <c r="V82" s="62"/>
      <c r="W82" s="31">
        <f t="shared" si="11"/>
        <v>4000</v>
      </c>
      <c r="X82" s="60" t="e">
        <f>#REF!-W82</f>
        <v>#REF!</v>
      </c>
      <c r="Y82" s="60"/>
      <c r="Z82" s="33">
        <f t="shared" si="12"/>
        <v>0</v>
      </c>
      <c r="AA82" s="33">
        <f t="shared" si="13"/>
        <v>0</v>
      </c>
      <c r="AB82" s="261"/>
      <c r="AC82" s="261"/>
      <c r="AD82" s="261"/>
      <c r="AE82" s="261"/>
      <c r="AF82" s="34" t="s">
        <v>131</v>
      </c>
    </row>
    <row r="83" spans="1:32" ht="15" customHeight="1" x14ac:dyDescent="0.35">
      <c r="A83" s="264"/>
      <c r="B83" s="272"/>
      <c r="C83" s="272"/>
      <c r="D83" s="25" t="s">
        <v>17</v>
      </c>
      <c r="E83" s="50" t="s">
        <v>34</v>
      </c>
      <c r="F83" s="55" t="s">
        <v>132</v>
      </c>
      <c r="G83" s="27" t="s">
        <v>86</v>
      </c>
      <c r="H83" s="27">
        <v>4</v>
      </c>
      <c r="I83" s="35">
        <v>2000</v>
      </c>
      <c r="J83" s="35">
        <v>8000</v>
      </c>
      <c r="K83" s="35">
        <v>0</v>
      </c>
      <c r="L83" s="35"/>
      <c r="M83" s="35"/>
      <c r="N83" s="35"/>
      <c r="O83" s="35"/>
      <c r="P83" s="35">
        <v>0</v>
      </c>
      <c r="Q83" s="35"/>
      <c r="R83" s="35">
        <v>8000</v>
      </c>
      <c r="S83" s="61">
        <v>0</v>
      </c>
      <c r="T83" s="61"/>
      <c r="U83" s="61">
        <v>0</v>
      </c>
      <c r="V83" s="62"/>
      <c r="W83" s="31">
        <f t="shared" si="11"/>
        <v>0</v>
      </c>
      <c r="X83" s="60" t="e">
        <f>#REF!-W83</f>
        <v>#REF!</v>
      </c>
      <c r="Y83" s="60"/>
      <c r="Z83" s="33">
        <f t="shared" si="12"/>
        <v>0</v>
      </c>
      <c r="AA83" s="33">
        <f t="shared" si="13"/>
        <v>8000</v>
      </c>
      <c r="AB83" s="262"/>
      <c r="AC83" s="262"/>
      <c r="AD83" s="261"/>
      <c r="AE83" s="261"/>
      <c r="AF83" s="34" t="s">
        <v>133</v>
      </c>
    </row>
    <row r="84" spans="1:32" ht="15" customHeight="1" x14ac:dyDescent="0.35">
      <c r="A84" s="264"/>
      <c r="B84" s="272"/>
      <c r="C84" s="39"/>
      <c r="D84" s="39"/>
      <c r="E84" s="53"/>
      <c r="F84" s="57"/>
      <c r="G84" s="41"/>
      <c r="H84" s="41"/>
      <c r="I84" s="42"/>
      <c r="J84" s="42">
        <f>SUM(J70:J83)</f>
        <v>267274</v>
      </c>
      <c r="K84" s="42">
        <f t="shared" ref="K84:AC84" si="14">SUM(K70:K83)</f>
        <v>10000</v>
      </c>
      <c r="L84" s="42">
        <f t="shared" si="14"/>
        <v>5014.1499999999996</v>
      </c>
      <c r="M84" s="42">
        <f t="shared" si="14"/>
        <v>0</v>
      </c>
      <c r="N84" s="42">
        <f t="shared" si="14"/>
        <v>7171.34</v>
      </c>
      <c r="O84" s="42">
        <f t="shared" si="14"/>
        <v>0</v>
      </c>
      <c r="P84" s="42">
        <f t="shared" si="14"/>
        <v>6630.9400000000005</v>
      </c>
      <c r="Q84" s="42">
        <f t="shared" si="14"/>
        <v>0</v>
      </c>
      <c r="R84" s="42">
        <f t="shared" si="14"/>
        <v>248457.57</v>
      </c>
      <c r="S84" s="42">
        <f t="shared" si="14"/>
        <v>171258.01</v>
      </c>
      <c r="T84" s="42">
        <f t="shared" si="14"/>
        <v>5000</v>
      </c>
      <c r="U84" s="42">
        <f t="shared" si="14"/>
        <v>77199.56</v>
      </c>
      <c r="V84" s="42">
        <f t="shared" si="14"/>
        <v>5000</v>
      </c>
      <c r="W84" s="42">
        <f t="shared" si="14"/>
        <v>267274</v>
      </c>
      <c r="X84" s="42" t="e">
        <f t="shared" si="14"/>
        <v>#REF!</v>
      </c>
      <c r="Y84" s="42" t="e">
        <f t="shared" si="14"/>
        <v>#REF!</v>
      </c>
      <c r="Z84" s="42">
        <f t="shared" si="14"/>
        <v>10000</v>
      </c>
      <c r="AA84" s="42">
        <f t="shared" si="14"/>
        <v>0</v>
      </c>
      <c r="AB84" s="42">
        <f t="shared" si="14"/>
        <v>267274</v>
      </c>
      <c r="AC84" s="42">
        <f t="shared" si="14"/>
        <v>10000</v>
      </c>
      <c r="AD84" s="261"/>
      <c r="AE84" s="261"/>
      <c r="AF84" s="49"/>
    </row>
    <row r="85" spans="1:32" ht="15" customHeight="1" x14ac:dyDescent="0.35">
      <c r="A85" s="264"/>
      <c r="B85" s="272"/>
      <c r="C85" s="272" t="s">
        <v>134</v>
      </c>
      <c r="D85" s="25" t="s">
        <v>17</v>
      </c>
      <c r="E85" s="50" t="s">
        <v>34</v>
      </c>
      <c r="F85" s="55" t="s">
        <v>28</v>
      </c>
      <c r="G85" s="27" t="s">
        <v>44</v>
      </c>
      <c r="H85" s="27">
        <v>0.25</v>
      </c>
      <c r="I85" s="35">
        <v>38000</v>
      </c>
      <c r="J85" s="35">
        <v>28876</v>
      </c>
      <c r="K85" s="35">
        <v>0</v>
      </c>
      <c r="L85" s="35">
        <v>5014.1499999999996</v>
      </c>
      <c r="M85" s="35"/>
      <c r="N85" s="35">
        <v>7171.34</v>
      </c>
      <c r="O85" s="35"/>
      <c r="P85" s="35">
        <v>6630.9500000000007</v>
      </c>
      <c r="Q85" s="35"/>
      <c r="R85" s="35">
        <v>10059.559999999998</v>
      </c>
      <c r="S85" s="58">
        <v>1447.9</v>
      </c>
      <c r="T85" s="58"/>
      <c r="U85" s="58">
        <v>0</v>
      </c>
      <c r="V85" s="59"/>
      <c r="W85" s="31">
        <f t="shared" si="11"/>
        <v>20264.340000000004</v>
      </c>
      <c r="X85" s="60" t="e">
        <f>#REF!-W85</f>
        <v>#REF!</v>
      </c>
      <c r="Y85" s="60" t="e">
        <f>#REF!-W85</f>
        <v>#REF!</v>
      </c>
      <c r="Z85" s="33">
        <f t="shared" si="12"/>
        <v>0</v>
      </c>
      <c r="AA85" s="33">
        <f t="shared" si="13"/>
        <v>8611.6599999999962</v>
      </c>
      <c r="AB85" s="260">
        <f>SUM(W85:W94)</f>
        <v>273326</v>
      </c>
      <c r="AC85" s="260">
        <f>SUM(Z85:Z94)</f>
        <v>0</v>
      </c>
      <c r="AD85" s="261"/>
      <c r="AE85" s="261"/>
      <c r="AF85" s="34" t="s">
        <v>135</v>
      </c>
    </row>
    <row r="86" spans="1:32" ht="15" customHeight="1" x14ac:dyDescent="0.35">
      <c r="A86" s="264"/>
      <c r="B86" s="272"/>
      <c r="C86" s="272"/>
      <c r="D86" s="25" t="s">
        <v>17</v>
      </c>
      <c r="E86" s="50" t="s">
        <v>34</v>
      </c>
      <c r="F86" s="55" t="s">
        <v>69</v>
      </c>
      <c r="G86" s="27" t="s">
        <v>55</v>
      </c>
      <c r="H86" s="27">
        <v>1</v>
      </c>
      <c r="I86" s="45">
        <v>2000</v>
      </c>
      <c r="J86" s="45">
        <v>2000</v>
      </c>
      <c r="K86" s="45">
        <v>0</v>
      </c>
      <c r="L86" s="45"/>
      <c r="M86" s="45"/>
      <c r="N86" s="45"/>
      <c r="O86" s="45"/>
      <c r="P86" s="45">
        <v>0</v>
      </c>
      <c r="Q86" s="45"/>
      <c r="R86" s="45">
        <v>2000</v>
      </c>
      <c r="S86" s="58">
        <v>2000</v>
      </c>
      <c r="T86" s="58"/>
      <c r="U86" s="58">
        <v>0</v>
      </c>
      <c r="V86" s="59"/>
      <c r="W86" s="31">
        <f t="shared" si="11"/>
        <v>2000</v>
      </c>
      <c r="X86" s="60" t="e">
        <f>#REF!-W86</f>
        <v>#REF!</v>
      </c>
      <c r="Y86" s="60"/>
      <c r="Z86" s="33">
        <f t="shared" si="12"/>
        <v>0</v>
      </c>
      <c r="AA86" s="33">
        <f t="shared" si="13"/>
        <v>0</v>
      </c>
      <c r="AB86" s="261"/>
      <c r="AC86" s="261"/>
      <c r="AD86" s="261"/>
      <c r="AE86" s="261"/>
      <c r="AF86" s="34" t="s">
        <v>136</v>
      </c>
    </row>
    <row r="87" spans="1:32" ht="15" customHeight="1" x14ac:dyDescent="0.35">
      <c r="A87" s="264"/>
      <c r="B87" s="272"/>
      <c r="C87" s="272"/>
      <c r="D87" s="25" t="s">
        <v>17</v>
      </c>
      <c r="E87" s="50" t="s">
        <v>34</v>
      </c>
      <c r="F87" s="55" t="s">
        <v>64</v>
      </c>
      <c r="G87" s="27" t="s">
        <v>86</v>
      </c>
      <c r="H87" s="27">
        <v>1</v>
      </c>
      <c r="I87" s="35">
        <v>195500</v>
      </c>
      <c r="J87" s="35">
        <v>195500</v>
      </c>
      <c r="K87" s="35">
        <v>0</v>
      </c>
      <c r="L87" s="35"/>
      <c r="M87" s="35"/>
      <c r="N87" s="35"/>
      <c r="O87" s="35"/>
      <c r="P87" s="35">
        <v>70203.66</v>
      </c>
      <c r="Q87" s="35"/>
      <c r="R87" s="35">
        <v>125296.34</v>
      </c>
      <c r="S87" s="58">
        <v>82000</v>
      </c>
      <c r="T87" s="58"/>
      <c r="U87" s="58">
        <f>30500+12858</f>
        <v>43358</v>
      </c>
      <c r="V87" s="59"/>
      <c r="W87" s="31">
        <f t="shared" si="11"/>
        <v>195561.66</v>
      </c>
      <c r="X87" s="60" t="e">
        <f>#REF!-W87</f>
        <v>#REF!</v>
      </c>
      <c r="Y87" s="60" t="e">
        <f>#REF!-W87</f>
        <v>#REF!</v>
      </c>
      <c r="Z87" s="33">
        <f t="shared" si="12"/>
        <v>0</v>
      </c>
      <c r="AA87" s="33">
        <f t="shared" si="13"/>
        <v>-61.660000000003492</v>
      </c>
      <c r="AB87" s="261"/>
      <c r="AC87" s="261"/>
      <c r="AD87" s="261"/>
      <c r="AE87" s="261"/>
      <c r="AF87" s="34" t="s">
        <v>137</v>
      </c>
    </row>
    <row r="88" spans="1:32" ht="15" customHeight="1" x14ac:dyDescent="0.35">
      <c r="A88" s="264"/>
      <c r="B88" s="272"/>
      <c r="C88" s="272"/>
      <c r="D88" s="25" t="s">
        <v>17</v>
      </c>
      <c r="E88" s="50" t="s">
        <v>34</v>
      </c>
      <c r="F88" s="55" t="s">
        <v>36</v>
      </c>
      <c r="G88" s="27" t="s">
        <v>37</v>
      </c>
      <c r="H88" s="27">
        <v>1</v>
      </c>
      <c r="I88" s="35">
        <v>2450</v>
      </c>
      <c r="J88" s="35">
        <v>2450</v>
      </c>
      <c r="K88" s="35">
        <v>0</v>
      </c>
      <c r="L88" s="35"/>
      <c r="M88" s="35"/>
      <c r="N88" s="35"/>
      <c r="O88" s="35"/>
      <c r="P88" s="35">
        <v>0</v>
      </c>
      <c r="Q88" s="35"/>
      <c r="R88" s="35">
        <v>2450</v>
      </c>
      <c r="S88" s="58">
        <v>0</v>
      </c>
      <c r="T88" s="58"/>
      <c r="U88" s="58">
        <v>0</v>
      </c>
      <c r="V88" s="59"/>
      <c r="W88" s="31">
        <f t="shared" si="11"/>
        <v>0</v>
      </c>
      <c r="X88" s="60" t="e">
        <f>#REF!-W88</f>
        <v>#REF!</v>
      </c>
      <c r="Y88" s="60"/>
      <c r="Z88" s="33">
        <f t="shared" si="12"/>
        <v>0</v>
      </c>
      <c r="AA88" s="33">
        <f t="shared" si="13"/>
        <v>2450</v>
      </c>
      <c r="AB88" s="261"/>
      <c r="AC88" s="261"/>
      <c r="AD88" s="261"/>
      <c r="AE88" s="261"/>
      <c r="AF88" s="34" t="s">
        <v>138</v>
      </c>
    </row>
    <row r="89" spans="1:32" ht="15" customHeight="1" x14ac:dyDescent="0.35">
      <c r="A89" s="264"/>
      <c r="B89" s="272"/>
      <c r="C89" s="272"/>
      <c r="D89" s="25" t="s">
        <v>17</v>
      </c>
      <c r="E89" s="50" t="s">
        <v>34</v>
      </c>
      <c r="F89" s="55" t="s">
        <v>53</v>
      </c>
      <c r="G89" s="27" t="s">
        <v>62</v>
      </c>
      <c r="H89" s="27">
        <v>1</v>
      </c>
      <c r="I89" s="35">
        <v>5000</v>
      </c>
      <c r="J89" s="35">
        <v>5000</v>
      </c>
      <c r="K89" s="35">
        <v>0</v>
      </c>
      <c r="L89" s="35"/>
      <c r="M89" s="35"/>
      <c r="N89" s="35"/>
      <c r="O89" s="35"/>
      <c r="P89" s="35">
        <v>0</v>
      </c>
      <c r="Q89" s="35"/>
      <c r="R89" s="35">
        <v>5000</v>
      </c>
      <c r="S89" s="58">
        <v>5000</v>
      </c>
      <c r="T89" s="58"/>
      <c r="U89" s="58">
        <v>0</v>
      </c>
      <c r="V89" s="59"/>
      <c r="W89" s="31">
        <f t="shared" si="11"/>
        <v>5000</v>
      </c>
      <c r="X89" s="60" t="e">
        <f>#REF!-W89</f>
        <v>#REF!</v>
      </c>
      <c r="Y89" s="60"/>
      <c r="Z89" s="33">
        <f t="shared" si="12"/>
        <v>0</v>
      </c>
      <c r="AA89" s="33">
        <f t="shared" si="13"/>
        <v>0</v>
      </c>
      <c r="AB89" s="261"/>
      <c r="AC89" s="261"/>
      <c r="AD89" s="261"/>
      <c r="AE89" s="261"/>
      <c r="AF89" s="34" t="s">
        <v>139</v>
      </c>
    </row>
    <row r="90" spans="1:32" ht="15" customHeight="1" x14ac:dyDescent="0.35">
      <c r="A90" s="264"/>
      <c r="B90" s="272"/>
      <c r="C90" s="272"/>
      <c r="D90" s="25" t="s">
        <v>17</v>
      </c>
      <c r="E90" s="50" t="s">
        <v>34</v>
      </c>
      <c r="F90" s="55" t="s">
        <v>69</v>
      </c>
      <c r="G90" s="27" t="s">
        <v>37</v>
      </c>
      <c r="H90" s="27">
        <v>1</v>
      </c>
      <c r="I90" s="35">
        <v>5400</v>
      </c>
      <c r="J90" s="35">
        <v>5400</v>
      </c>
      <c r="K90" s="35">
        <v>0</v>
      </c>
      <c r="L90" s="35"/>
      <c r="M90" s="35"/>
      <c r="N90" s="35"/>
      <c r="O90" s="35"/>
      <c r="P90" s="35">
        <v>0</v>
      </c>
      <c r="Q90" s="35"/>
      <c r="R90" s="35">
        <v>5400</v>
      </c>
      <c r="S90" s="58">
        <v>5400</v>
      </c>
      <c r="T90" s="58"/>
      <c r="U90" s="58">
        <v>0</v>
      </c>
      <c r="V90" s="59"/>
      <c r="W90" s="31">
        <f t="shared" si="11"/>
        <v>5400</v>
      </c>
      <c r="X90" s="60" t="e">
        <f>#REF!-W90</f>
        <v>#REF!</v>
      </c>
      <c r="Y90" s="60"/>
      <c r="Z90" s="33">
        <f t="shared" si="12"/>
        <v>0</v>
      </c>
      <c r="AA90" s="33">
        <f t="shared" si="13"/>
        <v>0</v>
      </c>
      <c r="AB90" s="261"/>
      <c r="AC90" s="261"/>
      <c r="AD90" s="261"/>
      <c r="AE90" s="261"/>
      <c r="AF90" s="34" t="s">
        <v>140</v>
      </c>
    </row>
    <row r="91" spans="1:32" ht="15" customHeight="1" x14ac:dyDescent="0.35">
      <c r="A91" s="264"/>
      <c r="B91" s="272"/>
      <c r="C91" s="272"/>
      <c r="D91" s="25" t="s">
        <v>17</v>
      </c>
      <c r="E91" s="50" t="s">
        <v>34</v>
      </c>
      <c r="F91" s="55" t="s">
        <v>69</v>
      </c>
      <c r="G91" s="27" t="s">
        <v>37</v>
      </c>
      <c r="H91" s="27">
        <v>7</v>
      </c>
      <c r="I91" s="35">
        <v>3200</v>
      </c>
      <c r="J91" s="35">
        <v>22400</v>
      </c>
      <c r="K91" s="35">
        <v>0</v>
      </c>
      <c r="L91" s="35"/>
      <c r="M91" s="35"/>
      <c r="N91" s="35"/>
      <c r="O91" s="35"/>
      <c r="P91" s="35">
        <v>0</v>
      </c>
      <c r="Q91" s="35"/>
      <c r="R91" s="35">
        <v>22400</v>
      </c>
      <c r="S91" s="58">
        <f>11200+11000</f>
        <v>22200</v>
      </c>
      <c r="T91" s="58"/>
      <c r="U91" s="58">
        <v>11200</v>
      </c>
      <c r="V91" s="59"/>
      <c r="W91" s="31">
        <f t="shared" si="11"/>
        <v>33400</v>
      </c>
      <c r="X91" s="60" t="e">
        <f>#REF!-W91</f>
        <v>#REF!</v>
      </c>
      <c r="Y91" s="60"/>
      <c r="Z91" s="33">
        <f t="shared" si="12"/>
        <v>0</v>
      </c>
      <c r="AA91" s="33">
        <f t="shared" si="13"/>
        <v>-11000</v>
      </c>
      <c r="AB91" s="261"/>
      <c r="AC91" s="261"/>
      <c r="AD91" s="261"/>
      <c r="AE91" s="261"/>
      <c r="AF91" s="34" t="s">
        <v>141</v>
      </c>
    </row>
    <row r="92" spans="1:32" ht="15" customHeight="1" x14ac:dyDescent="0.35">
      <c r="A92" s="264"/>
      <c r="B92" s="272"/>
      <c r="C92" s="272"/>
      <c r="D92" s="25" t="s">
        <v>17</v>
      </c>
      <c r="E92" s="50" t="s">
        <v>34</v>
      </c>
      <c r="F92" s="55" t="s">
        <v>64</v>
      </c>
      <c r="G92" s="27" t="s">
        <v>86</v>
      </c>
      <c r="H92" s="27">
        <v>1</v>
      </c>
      <c r="I92" s="35">
        <v>200</v>
      </c>
      <c r="J92" s="35">
        <v>200</v>
      </c>
      <c r="K92" s="35">
        <v>0</v>
      </c>
      <c r="L92" s="35"/>
      <c r="M92" s="35"/>
      <c r="N92" s="35"/>
      <c r="O92" s="35"/>
      <c r="P92" s="35">
        <v>0</v>
      </c>
      <c r="Q92" s="35"/>
      <c r="R92" s="35">
        <v>200</v>
      </c>
      <c r="S92" s="58">
        <v>200</v>
      </c>
      <c r="T92" s="58"/>
      <c r="U92" s="58">
        <v>0</v>
      </c>
      <c r="V92" s="59"/>
      <c r="W92" s="31">
        <f t="shared" si="11"/>
        <v>200</v>
      </c>
      <c r="X92" s="60" t="e">
        <f>#REF!-W92</f>
        <v>#REF!</v>
      </c>
      <c r="Y92" s="60"/>
      <c r="Z92" s="33">
        <f t="shared" si="12"/>
        <v>0</v>
      </c>
      <c r="AA92" s="33">
        <f t="shared" si="13"/>
        <v>0</v>
      </c>
      <c r="AB92" s="261"/>
      <c r="AC92" s="261"/>
      <c r="AD92" s="261"/>
      <c r="AE92" s="261"/>
      <c r="AF92" s="34" t="s">
        <v>142</v>
      </c>
    </row>
    <row r="93" spans="1:32" ht="15" customHeight="1" x14ac:dyDescent="0.35">
      <c r="A93" s="264"/>
      <c r="B93" s="272"/>
      <c r="C93" s="272"/>
      <c r="D93" s="25" t="s">
        <v>17</v>
      </c>
      <c r="E93" s="50" t="s">
        <v>34</v>
      </c>
      <c r="F93" s="55" t="s">
        <v>53</v>
      </c>
      <c r="G93" s="27" t="s">
        <v>86</v>
      </c>
      <c r="H93" s="27">
        <v>1</v>
      </c>
      <c r="I93" s="35">
        <v>1500</v>
      </c>
      <c r="J93" s="35">
        <v>1500</v>
      </c>
      <c r="K93" s="35">
        <v>0</v>
      </c>
      <c r="L93" s="35"/>
      <c r="M93" s="35"/>
      <c r="N93" s="35"/>
      <c r="O93" s="35"/>
      <c r="P93" s="35">
        <v>0</v>
      </c>
      <c r="Q93" s="35"/>
      <c r="R93" s="35">
        <v>1500</v>
      </c>
      <c r="S93" s="58">
        <v>1500</v>
      </c>
      <c r="T93" s="58"/>
      <c r="U93" s="58">
        <v>0</v>
      </c>
      <c r="V93" s="59"/>
      <c r="W93" s="31">
        <f t="shared" si="11"/>
        <v>1500</v>
      </c>
      <c r="X93" s="60" t="e">
        <f>#REF!-W93</f>
        <v>#REF!</v>
      </c>
      <c r="Y93" s="60"/>
      <c r="Z93" s="33">
        <f t="shared" si="12"/>
        <v>0</v>
      </c>
      <c r="AA93" s="33">
        <f t="shared" si="13"/>
        <v>0</v>
      </c>
      <c r="AB93" s="261"/>
      <c r="AC93" s="261"/>
      <c r="AD93" s="261"/>
      <c r="AE93" s="261"/>
      <c r="AF93" s="34" t="s">
        <v>143</v>
      </c>
    </row>
    <row r="94" spans="1:32" ht="15" customHeight="1" x14ac:dyDescent="0.35">
      <c r="A94" s="264"/>
      <c r="B94" s="272"/>
      <c r="C94" s="272"/>
      <c r="D94" s="25" t="s">
        <v>17</v>
      </c>
      <c r="E94" s="50" t="s">
        <v>34</v>
      </c>
      <c r="F94" s="55" t="s">
        <v>130</v>
      </c>
      <c r="G94" s="27" t="s">
        <v>40</v>
      </c>
      <c r="H94" s="27">
        <v>10</v>
      </c>
      <c r="I94" s="35">
        <v>1000</v>
      </c>
      <c r="J94" s="35">
        <v>10000</v>
      </c>
      <c r="K94" s="35">
        <v>0</v>
      </c>
      <c r="L94" s="35"/>
      <c r="M94" s="35"/>
      <c r="N94" s="35"/>
      <c r="O94" s="35"/>
      <c r="P94" s="35">
        <v>0</v>
      </c>
      <c r="Q94" s="35"/>
      <c r="R94" s="35">
        <v>10000</v>
      </c>
      <c r="S94" s="58">
        <v>5000</v>
      </c>
      <c r="T94" s="58"/>
      <c r="U94" s="58">
        <v>5000</v>
      </c>
      <c r="V94" s="59"/>
      <c r="W94" s="31">
        <f t="shared" si="11"/>
        <v>10000</v>
      </c>
      <c r="X94" s="60" t="e">
        <f>#REF!-W94</f>
        <v>#REF!</v>
      </c>
      <c r="Y94" s="60"/>
      <c r="Z94" s="33">
        <f t="shared" si="12"/>
        <v>0</v>
      </c>
      <c r="AA94" s="33">
        <f t="shared" si="13"/>
        <v>0</v>
      </c>
      <c r="AB94" s="262"/>
      <c r="AC94" s="262"/>
      <c r="AD94" s="261"/>
      <c r="AE94" s="261"/>
      <c r="AF94" s="34" t="s">
        <v>144</v>
      </c>
    </row>
    <row r="95" spans="1:32" ht="15" customHeight="1" x14ac:dyDescent="0.35">
      <c r="A95" s="264"/>
      <c r="B95" s="272"/>
      <c r="C95" s="39"/>
      <c r="D95" s="39"/>
      <c r="E95" s="53"/>
      <c r="F95" s="57"/>
      <c r="G95" s="41"/>
      <c r="H95" s="41"/>
      <c r="I95" s="42"/>
      <c r="J95" s="42">
        <f>SUM(J85:J94)</f>
        <v>273326</v>
      </c>
      <c r="K95" s="42">
        <f t="shared" ref="K95:AC95" si="15">SUM(K85:K94)</f>
        <v>0</v>
      </c>
      <c r="L95" s="42">
        <f t="shared" si="15"/>
        <v>5014.1499999999996</v>
      </c>
      <c r="M95" s="42">
        <f t="shared" si="15"/>
        <v>0</v>
      </c>
      <c r="N95" s="42">
        <f t="shared" si="15"/>
        <v>7171.34</v>
      </c>
      <c r="O95" s="42">
        <f t="shared" si="15"/>
        <v>0</v>
      </c>
      <c r="P95" s="42">
        <f t="shared" si="15"/>
        <v>76834.61</v>
      </c>
      <c r="Q95" s="42">
        <f t="shared" si="15"/>
        <v>0</v>
      </c>
      <c r="R95" s="42">
        <f t="shared" si="15"/>
        <v>184305.9</v>
      </c>
      <c r="S95" s="42">
        <f t="shared" si="15"/>
        <v>124747.9</v>
      </c>
      <c r="T95" s="42">
        <f t="shared" si="15"/>
        <v>0</v>
      </c>
      <c r="U95" s="42">
        <f t="shared" si="15"/>
        <v>59558</v>
      </c>
      <c r="V95" s="42">
        <f t="shared" si="15"/>
        <v>0</v>
      </c>
      <c r="W95" s="42">
        <f t="shared" si="15"/>
        <v>273326</v>
      </c>
      <c r="X95" s="42" t="e">
        <f t="shared" si="15"/>
        <v>#REF!</v>
      </c>
      <c r="Y95" s="42" t="e">
        <f t="shared" si="15"/>
        <v>#REF!</v>
      </c>
      <c r="Z95" s="42">
        <f t="shared" si="15"/>
        <v>0</v>
      </c>
      <c r="AA95" s="42">
        <f t="shared" si="15"/>
        <v>-7.2759576141834259E-12</v>
      </c>
      <c r="AB95" s="42">
        <f t="shared" si="15"/>
        <v>273326</v>
      </c>
      <c r="AC95" s="42">
        <f t="shared" si="15"/>
        <v>0</v>
      </c>
      <c r="AD95" s="261"/>
      <c r="AE95" s="261"/>
      <c r="AF95" s="49"/>
    </row>
    <row r="96" spans="1:32" ht="15" customHeight="1" x14ac:dyDescent="0.35">
      <c r="A96" s="264"/>
      <c r="B96" s="272"/>
      <c r="C96" s="272" t="s">
        <v>145</v>
      </c>
      <c r="D96" s="25" t="s">
        <v>17</v>
      </c>
      <c r="E96" s="50" t="s">
        <v>34</v>
      </c>
      <c r="F96" s="55" t="s">
        <v>28</v>
      </c>
      <c r="G96" s="27" t="s">
        <v>44</v>
      </c>
      <c r="H96" s="27">
        <v>0.25</v>
      </c>
      <c r="I96" s="35">
        <v>38000</v>
      </c>
      <c r="J96" s="35">
        <v>28875</v>
      </c>
      <c r="K96" s="35">
        <v>0</v>
      </c>
      <c r="L96" s="35">
        <v>5014.1499999999996</v>
      </c>
      <c r="M96" s="35"/>
      <c r="N96" s="35">
        <v>7171.36</v>
      </c>
      <c r="O96" s="35"/>
      <c r="P96" s="35">
        <v>6630.95</v>
      </c>
      <c r="Q96" s="35"/>
      <c r="R96" s="35">
        <v>10058.540000000001</v>
      </c>
      <c r="S96" s="58">
        <v>1447.21</v>
      </c>
      <c r="T96" s="58"/>
      <c r="U96" s="58">
        <v>0</v>
      </c>
      <c r="V96" s="59"/>
      <c r="W96" s="31">
        <f t="shared" si="11"/>
        <v>20263.669999999998</v>
      </c>
      <c r="X96" s="60" t="e">
        <f>#REF!-W96</f>
        <v>#REF!</v>
      </c>
      <c r="Y96" s="60" t="e">
        <f>#REF!-#REF!</f>
        <v>#REF!</v>
      </c>
      <c r="Z96" s="33">
        <f t="shared" si="12"/>
        <v>0</v>
      </c>
      <c r="AA96" s="33">
        <f t="shared" si="13"/>
        <v>8611.3300000000017</v>
      </c>
      <c r="AB96" s="260">
        <f>SUM(W96:W105)</f>
        <v>752394.99999999988</v>
      </c>
      <c r="AC96" s="260">
        <f>SUM(Z96:Z105)</f>
        <v>0</v>
      </c>
      <c r="AD96" s="261"/>
      <c r="AE96" s="261"/>
      <c r="AF96" s="34" t="s">
        <v>146</v>
      </c>
    </row>
    <row r="97" spans="1:32" ht="15" customHeight="1" x14ac:dyDescent="0.35">
      <c r="A97" s="264"/>
      <c r="B97" s="272"/>
      <c r="C97" s="272"/>
      <c r="D97" s="25" t="s">
        <v>17</v>
      </c>
      <c r="E97" s="50" t="s">
        <v>34</v>
      </c>
      <c r="F97" s="55" t="s">
        <v>64</v>
      </c>
      <c r="G97" s="27" t="s">
        <v>86</v>
      </c>
      <c r="H97" s="27">
        <v>1</v>
      </c>
      <c r="I97" s="45">
        <v>388000</v>
      </c>
      <c r="J97" s="45">
        <v>388000</v>
      </c>
      <c r="K97" s="45">
        <v>0</v>
      </c>
      <c r="L97" s="45"/>
      <c r="M97" s="45"/>
      <c r="N97" s="45"/>
      <c r="O97" s="45"/>
      <c r="P97" s="45">
        <v>0</v>
      </c>
      <c r="Q97" s="45"/>
      <c r="R97" s="45">
        <v>388000</v>
      </c>
      <c r="S97" s="58">
        <v>486940</v>
      </c>
      <c r="T97" s="58"/>
      <c r="U97" s="58"/>
      <c r="V97" s="59"/>
      <c r="W97" s="31">
        <f t="shared" si="11"/>
        <v>486940</v>
      </c>
      <c r="X97" s="60" t="e">
        <f>#REF!-W97</f>
        <v>#REF!</v>
      </c>
      <c r="Y97" s="60"/>
      <c r="Z97" s="33">
        <f t="shared" si="12"/>
        <v>0</v>
      </c>
      <c r="AA97" s="33">
        <f t="shared" si="13"/>
        <v>-98940</v>
      </c>
      <c r="AB97" s="261"/>
      <c r="AC97" s="261"/>
      <c r="AD97" s="261"/>
      <c r="AE97" s="261"/>
      <c r="AF97" s="34" t="s">
        <v>147</v>
      </c>
    </row>
    <row r="98" spans="1:32" ht="15" customHeight="1" x14ac:dyDescent="0.35">
      <c r="A98" s="264"/>
      <c r="B98" s="272"/>
      <c r="C98" s="272"/>
      <c r="D98" s="25" t="s">
        <v>17</v>
      </c>
      <c r="E98" s="50" t="s">
        <v>34</v>
      </c>
      <c r="F98" s="55" t="s">
        <v>148</v>
      </c>
      <c r="G98" s="27" t="s">
        <v>86</v>
      </c>
      <c r="H98" s="27">
        <v>64</v>
      </c>
      <c r="I98" s="45">
        <v>255</v>
      </c>
      <c r="J98" s="45">
        <v>16320</v>
      </c>
      <c r="K98" s="45">
        <v>0</v>
      </c>
      <c r="L98" s="45"/>
      <c r="M98" s="45"/>
      <c r="N98" s="45"/>
      <c r="O98" s="45"/>
      <c r="P98" s="45">
        <v>0</v>
      </c>
      <c r="Q98" s="45"/>
      <c r="R98" s="45">
        <v>16320</v>
      </c>
      <c r="S98" s="58">
        <v>0</v>
      </c>
      <c r="T98" s="58"/>
      <c r="U98" s="58">
        <v>16320</v>
      </c>
      <c r="V98" s="59"/>
      <c r="W98" s="31">
        <f t="shared" si="11"/>
        <v>16320</v>
      </c>
      <c r="X98" s="60" t="e">
        <f>#REF!-W98</f>
        <v>#REF!</v>
      </c>
      <c r="Y98" s="60"/>
      <c r="Z98" s="33">
        <f t="shared" si="12"/>
        <v>0</v>
      </c>
      <c r="AA98" s="33">
        <f t="shared" si="13"/>
        <v>0</v>
      </c>
      <c r="AB98" s="261"/>
      <c r="AC98" s="261"/>
      <c r="AD98" s="261"/>
      <c r="AE98" s="261"/>
      <c r="AF98" s="34" t="s">
        <v>149</v>
      </c>
    </row>
    <row r="99" spans="1:32" ht="15" customHeight="1" x14ac:dyDescent="0.35">
      <c r="A99" s="264"/>
      <c r="B99" s="272"/>
      <c r="C99" s="272"/>
      <c r="D99" s="25" t="s">
        <v>17</v>
      </c>
      <c r="E99" s="50" t="s">
        <v>34</v>
      </c>
      <c r="F99" s="55" t="s">
        <v>69</v>
      </c>
      <c r="G99" s="27" t="s">
        <v>55</v>
      </c>
      <c r="H99" s="27">
        <v>8</v>
      </c>
      <c r="I99" s="45">
        <v>2000</v>
      </c>
      <c r="J99" s="45">
        <v>16000</v>
      </c>
      <c r="K99" s="45">
        <v>0</v>
      </c>
      <c r="L99" s="45"/>
      <c r="M99" s="45"/>
      <c r="N99" s="45"/>
      <c r="O99" s="45"/>
      <c r="P99" s="45">
        <v>0</v>
      </c>
      <c r="Q99" s="45"/>
      <c r="R99" s="45">
        <v>16000</v>
      </c>
      <c r="S99" s="58">
        <v>8000</v>
      </c>
      <c r="T99" s="58"/>
      <c r="U99" s="58">
        <v>8000</v>
      </c>
      <c r="V99" s="59"/>
      <c r="W99" s="31">
        <f t="shared" si="11"/>
        <v>16000</v>
      </c>
      <c r="X99" s="60" t="e">
        <f>#REF!-W99</f>
        <v>#REF!</v>
      </c>
      <c r="Y99" s="60"/>
      <c r="Z99" s="33">
        <f t="shared" si="12"/>
        <v>0</v>
      </c>
      <c r="AA99" s="33">
        <f t="shared" si="13"/>
        <v>0</v>
      </c>
      <c r="AB99" s="261"/>
      <c r="AC99" s="261"/>
      <c r="AD99" s="261"/>
      <c r="AE99" s="261"/>
      <c r="AF99" s="34" t="s">
        <v>150</v>
      </c>
    </row>
    <row r="100" spans="1:32" ht="15" customHeight="1" x14ac:dyDescent="0.35">
      <c r="A100" s="264"/>
      <c r="B100" s="272"/>
      <c r="C100" s="272"/>
      <c r="D100" s="25" t="s">
        <v>17</v>
      </c>
      <c r="E100" s="50" t="s">
        <v>34</v>
      </c>
      <c r="F100" s="55" t="s">
        <v>69</v>
      </c>
      <c r="G100" s="27" t="s">
        <v>55</v>
      </c>
      <c r="H100" s="27">
        <v>16</v>
      </c>
      <c r="I100" s="35">
        <v>5400</v>
      </c>
      <c r="J100" s="35">
        <v>86400</v>
      </c>
      <c r="K100" s="35">
        <v>0</v>
      </c>
      <c r="L100" s="35"/>
      <c r="M100" s="35"/>
      <c r="N100" s="35"/>
      <c r="O100" s="35"/>
      <c r="P100" s="35">
        <v>0</v>
      </c>
      <c r="Q100" s="35"/>
      <c r="R100" s="35">
        <v>86400</v>
      </c>
      <c r="S100" s="58">
        <v>0</v>
      </c>
      <c r="T100" s="58"/>
      <c r="U100" s="58">
        <v>86400</v>
      </c>
      <c r="V100" s="59"/>
      <c r="W100" s="31">
        <f t="shared" si="11"/>
        <v>86400</v>
      </c>
      <c r="X100" s="60" t="e">
        <f>#REF!-W100</f>
        <v>#REF!</v>
      </c>
      <c r="Y100" s="60"/>
      <c r="Z100" s="33">
        <f t="shared" si="12"/>
        <v>0</v>
      </c>
      <c r="AA100" s="33">
        <f t="shared" si="13"/>
        <v>0</v>
      </c>
      <c r="AB100" s="261"/>
      <c r="AC100" s="261"/>
      <c r="AD100" s="261"/>
      <c r="AE100" s="261"/>
      <c r="AF100" s="34" t="s">
        <v>151</v>
      </c>
    </row>
    <row r="101" spans="1:32" ht="15" customHeight="1" x14ac:dyDescent="0.35">
      <c r="A101" s="264"/>
      <c r="B101" s="272"/>
      <c r="C101" s="272"/>
      <c r="D101" s="25" t="s">
        <v>17</v>
      </c>
      <c r="E101" s="50" t="s">
        <v>34</v>
      </c>
      <c r="F101" s="55" t="s">
        <v>69</v>
      </c>
      <c r="G101" s="27" t="s">
        <v>55</v>
      </c>
      <c r="H101" s="27">
        <v>48</v>
      </c>
      <c r="I101" s="35">
        <v>2200</v>
      </c>
      <c r="J101" s="35">
        <v>105600</v>
      </c>
      <c r="K101" s="35">
        <v>0</v>
      </c>
      <c r="L101" s="35"/>
      <c r="M101" s="35"/>
      <c r="N101" s="35"/>
      <c r="O101" s="35"/>
      <c r="P101" s="35">
        <v>0</v>
      </c>
      <c r="Q101" s="35"/>
      <c r="R101" s="35">
        <v>105600</v>
      </c>
      <c r="S101" s="58">
        <v>0</v>
      </c>
      <c r="T101" s="58"/>
      <c r="U101" s="58">
        <v>0</v>
      </c>
      <c r="V101" s="59"/>
      <c r="W101" s="31">
        <f t="shared" si="11"/>
        <v>0</v>
      </c>
      <c r="X101" s="60" t="e">
        <f>#REF!-W101</f>
        <v>#REF!</v>
      </c>
      <c r="Y101" s="60"/>
      <c r="Z101" s="33">
        <f t="shared" si="12"/>
        <v>0</v>
      </c>
      <c r="AA101" s="33">
        <f t="shared" si="13"/>
        <v>105600</v>
      </c>
      <c r="AB101" s="261"/>
      <c r="AC101" s="261"/>
      <c r="AD101" s="261"/>
      <c r="AE101" s="261"/>
      <c r="AF101" s="34" t="s">
        <v>152</v>
      </c>
    </row>
    <row r="102" spans="1:32" ht="15" customHeight="1" x14ac:dyDescent="0.35">
      <c r="A102" s="264"/>
      <c r="B102" s="272"/>
      <c r="C102" s="272"/>
      <c r="D102" s="25" t="s">
        <v>17</v>
      </c>
      <c r="E102" s="50" t="s">
        <v>34</v>
      </c>
      <c r="F102" s="55" t="s">
        <v>53</v>
      </c>
      <c r="G102" s="27" t="s">
        <v>86</v>
      </c>
      <c r="H102" s="27">
        <v>16</v>
      </c>
      <c r="I102" s="35">
        <v>3500</v>
      </c>
      <c r="J102" s="35">
        <v>56000</v>
      </c>
      <c r="K102" s="35">
        <v>0</v>
      </c>
      <c r="L102" s="35"/>
      <c r="M102" s="35"/>
      <c r="N102" s="35"/>
      <c r="O102" s="35"/>
      <c r="P102" s="35">
        <v>0</v>
      </c>
      <c r="Q102" s="35"/>
      <c r="R102" s="35">
        <v>56000</v>
      </c>
      <c r="S102" s="58">
        <v>20000</v>
      </c>
      <c r="T102" s="58"/>
      <c r="U102" s="58">
        <v>36000</v>
      </c>
      <c r="V102" s="59"/>
      <c r="W102" s="31">
        <f t="shared" si="11"/>
        <v>56000</v>
      </c>
      <c r="X102" s="60" t="e">
        <f>#REF!-W102</f>
        <v>#REF!</v>
      </c>
      <c r="Y102" s="60"/>
      <c r="Z102" s="33">
        <f t="shared" si="12"/>
        <v>0</v>
      </c>
      <c r="AA102" s="33">
        <f t="shared" si="13"/>
        <v>0</v>
      </c>
      <c r="AB102" s="261"/>
      <c r="AC102" s="261"/>
      <c r="AD102" s="261"/>
      <c r="AE102" s="261"/>
      <c r="AF102" s="34" t="s">
        <v>153</v>
      </c>
    </row>
    <row r="103" spans="1:32" ht="15" customHeight="1" x14ac:dyDescent="0.35">
      <c r="A103" s="264"/>
      <c r="B103" s="272"/>
      <c r="C103" s="272"/>
      <c r="D103" s="25" t="s">
        <v>17</v>
      </c>
      <c r="E103" s="50" t="s">
        <v>34</v>
      </c>
      <c r="F103" s="55" t="s">
        <v>154</v>
      </c>
      <c r="G103" s="27" t="s">
        <v>155</v>
      </c>
      <c r="H103" s="27">
        <v>16</v>
      </c>
      <c r="I103" s="35">
        <v>450</v>
      </c>
      <c r="J103" s="35">
        <v>7200</v>
      </c>
      <c r="K103" s="35">
        <v>0</v>
      </c>
      <c r="L103" s="35"/>
      <c r="M103" s="35"/>
      <c r="N103" s="35"/>
      <c r="O103" s="35"/>
      <c r="P103" s="35">
        <v>0</v>
      </c>
      <c r="Q103" s="35"/>
      <c r="R103" s="35">
        <v>7200</v>
      </c>
      <c r="S103" s="58">
        <v>7200</v>
      </c>
      <c r="T103" s="58"/>
      <c r="U103" s="58">
        <v>23271.33</v>
      </c>
      <c r="V103" s="59"/>
      <c r="W103" s="31">
        <f t="shared" si="11"/>
        <v>30471.33</v>
      </c>
      <c r="X103" s="60" t="e">
        <f>#REF!-W103</f>
        <v>#REF!</v>
      </c>
      <c r="Y103" s="60"/>
      <c r="Z103" s="33">
        <f t="shared" si="12"/>
        <v>0</v>
      </c>
      <c r="AA103" s="33">
        <f t="shared" si="13"/>
        <v>-23271.33</v>
      </c>
      <c r="AB103" s="261"/>
      <c r="AC103" s="261"/>
      <c r="AD103" s="261"/>
      <c r="AE103" s="261"/>
      <c r="AF103" s="34" t="s">
        <v>156</v>
      </c>
    </row>
    <row r="104" spans="1:32" ht="15" customHeight="1" x14ac:dyDescent="0.35">
      <c r="A104" s="264"/>
      <c r="B104" s="272"/>
      <c r="C104" s="272"/>
      <c r="D104" s="25" t="s">
        <v>17</v>
      </c>
      <c r="E104" s="50" t="s">
        <v>34</v>
      </c>
      <c r="F104" s="55" t="s">
        <v>123</v>
      </c>
      <c r="G104" s="27" t="s">
        <v>155</v>
      </c>
      <c r="H104" s="27">
        <v>16</v>
      </c>
      <c r="I104" s="35">
        <v>2000</v>
      </c>
      <c r="J104" s="35">
        <v>32000</v>
      </c>
      <c r="K104" s="35">
        <v>0</v>
      </c>
      <c r="L104" s="35"/>
      <c r="M104" s="35"/>
      <c r="N104" s="35"/>
      <c r="O104" s="35"/>
      <c r="P104" s="35">
        <v>0</v>
      </c>
      <c r="Q104" s="35"/>
      <c r="R104" s="35">
        <v>32000</v>
      </c>
      <c r="S104" s="58">
        <v>32000</v>
      </c>
      <c r="T104" s="58"/>
      <c r="U104" s="58">
        <v>0</v>
      </c>
      <c r="V104" s="59"/>
      <c r="W104" s="31">
        <f t="shared" si="11"/>
        <v>32000</v>
      </c>
      <c r="X104" s="60" t="e">
        <f>#REF!-W104</f>
        <v>#REF!</v>
      </c>
      <c r="Y104" s="60"/>
      <c r="Z104" s="33">
        <f t="shared" si="12"/>
        <v>0</v>
      </c>
      <c r="AA104" s="33">
        <f t="shared" si="13"/>
        <v>0</v>
      </c>
      <c r="AB104" s="261"/>
      <c r="AC104" s="261"/>
      <c r="AD104" s="261"/>
      <c r="AE104" s="261"/>
      <c r="AF104" s="34" t="s">
        <v>157</v>
      </c>
    </row>
    <row r="105" spans="1:32" ht="15" customHeight="1" x14ac:dyDescent="0.35">
      <c r="A105" s="264"/>
      <c r="B105" s="272"/>
      <c r="C105" s="272"/>
      <c r="D105" s="25" t="s">
        <v>17</v>
      </c>
      <c r="E105" s="50" t="s">
        <v>34</v>
      </c>
      <c r="F105" s="55" t="s">
        <v>130</v>
      </c>
      <c r="G105" s="27" t="s">
        <v>40</v>
      </c>
      <c r="H105" s="27">
        <v>16</v>
      </c>
      <c r="I105" s="35">
        <v>1000</v>
      </c>
      <c r="J105" s="35">
        <v>16000</v>
      </c>
      <c r="K105" s="35">
        <v>0</v>
      </c>
      <c r="L105" s="35"/>
      <c r="M105" s="35"/>
      <c r="N105" s="35"/>
      <c r="O105" s="35"/>
      <c r="P105" s="35">
        <v>0</v>
      </c>
      <c r="Q105" s="35"/>
      <c r="R105" s="35">
        <v>16000</v>
      </c>
      <c r="S105" s="58">
        <v>8000</v>
      </c>
      <c r="T105" s="58"/>
      <c r="U105" s="58">
        <v>0</v>
      </c>
      <c r="V105" s="59"/>
      <c r="W105" s="31">
        <f t="shared" si="11"/>
        <v>8000</v>
      </c>
      <c r="X105" s="60" t="e">
        <f>#REF!-W105</f>
        <v>#REF!</v>
      </c>
      <c r="Y105" s="60"/>
      <c r="Z105" s="33">
        <f t="shared" si="12"/>
        <v>0</v>
      </c>
      <c r="AA105" s="33">
        <f t="shared" si="13"/>
        <v>8000</v>
      </c>
      <c r="AB105" s="262"/>
      <c r="AC105" s="262"/>
      <c r="AD105" s="261"/>
      <c r="AE105" s="261"/>
      <c r="AF105" s="34" t="s">
        <v>158</v>
      </c>
    </row>
    <row r="106" spans="1:32" ht="15" customHeight="1" x14ac:dyDescent="0.35">
      <c r="A106" s="264"/>
      <c r="B106" s="272"/>
      <c r="C106" s="39"/>
      <c r="D106" s="39"/>
      <c r="E106" s="53"/>
      <c r="F106" s="57"/>
      <c r="G106" s="41"/>
      <c r="H106" s="41"/>
      <c r="I106" s="42"/>
      <c r="J106" s="42">
        <f>SUM(J96:J105)</f>
        <v>752395</v>
      </c>
      <c r="K106" s="42">
        <f t="shared" ref="K106:AC106" si="16">SUM(K96:K105)</f>
        <v>0</v>
      </c>
      <c r="L106" s="42">
        <f t="shared" si="16"/>
        <v>5014.1499999999996</v>
      </c>
      <c r="M106" s="42">
        <f t="shared" si="16"/>
        <v>0</v>
      </c>
      <c r="N106" s="42">
        <f t="shared" si="16"/>
        <v>7171.36</v>
      </c>
      <c r="O106" s="42">
        <f t="shared" si="16"/>
        <v>0</v>
      </c>
      <c r="P106" s="42">
        <f t="shared" si="16"/>
        <v>6630.95</v>
      </c>
      <c r="Q106" s="42">
        <f t="shared" si="16"/>
        <v>0</v>
      </c>
      <c r="R106" s="42">
        <f t="shared" si="16"/>
        <v>733578.54</v>
      </c>
      <c r="S106" s="42">
        <f t="shared" si="16"/>
        <v>563587.21</v>
      </c>
      <c r="T106" s="42">
        <f t="shared" si="16"/>
        <v>0</v>
      </c>
      <c r="U106" s="42">
        <f t="shared" si="16"/>
        <v>169991.33000000002</v>
      </c>
      <c r="V106" s="42">
        <f t="shared" si="16"/>
        <v>0</v>
      </c>
      <c r="W106" s="42">
        <f t="shared" si="16"/>
        <v>752394.99999999988</v>
      </c>
      <c r="X106" s="42" t="e">
        <f t="shared" si="16"/>
        <v>#REF!</v>
      </c>
      <c r="Y106" s="42" t="e">
        <f t="shared" si="16"/>
        <v>#REF!</v>
      </c>
      <c r="Z106" s="42">
        <f t="shared" si="16"/>
        <v>0</v>
      </c>
      <c r="AA106" s="42">
        <f t="shared" si="16"/>
        <v>0</v>
      </c>
      <c r="AB106" s="42">
        <f t="shared" si="16"/>
        <v>752394.99999999988</v>
      </c>
      <c r="AC106" s="42">
        <f t="shared" si="16"/>
        <v>0</v>
      </c>
      <c r="AD106" s="261"/>
      <c r="AE106" s="261"/>
      <c r="AF106" s="49"/>
    </row>
    <row r="107" spans="1:32" ht="15" customHeight="1" x14ac:dyDescent="0.35">
      <c r="A107" s="264"/>
      <c r="B107" s="272"/>
      <c r="C107" s="272" t="s">
        <v>159</v>
      </c>
      <c r="D107" s="25" t="s">
        <v>17</v>
      </c>
      <c r="E107" s="50" t="s">
        <v>34</v>
      </c>
      <c r="F107" s="55" t="s">
        <v>28</v>
      </c>
      <c r="G107" s="27" t="s">
        <v>44</v>
      </c>
      <c r="H107" s="27">
        <v>0.25</v>
      </c>
      <c r="I107" s="35">
        <v>38000</v>
      </c>
      <c r="J107" s="35">
        <v>28597</v>
      </c>
      <c r="K107" s="35">
        <v>0</v>
      </c>
      <c r="L107" s="35"/>
      <c r="M107" s="35"/>
      <c r="N107" s="35"/>
      <c r="O107" s="35"/>
      <c r="P107" s="35">
        <v>0</v>
      </c>
      <c r="Q107" s="35"/>
      <c r="R107" s="35">
        <v>28597</v>
      </c>
      <c r="S107" s="58"/>
      <c r="T107" s="58"/>
      <c r="U107" s="58">
        <v>16000</v>
      </c>
      <c r="V107" s="59"/>
      <c r="W107" s="31">
        <f t="shared" si="11"/>
        <v>16000</v>
      </c>
      <c r="X107" s="60" t="e">
        <f>#REF!-W107</f>
        <v>#REF!</v>
      </c>
      <c r="Y107" s="60"/>
      <c r="Z107" s="33">
        <f t="shared" si="12"/>
        <v>0</v>
      </c>
      <c r="AA107" s="33">
        <f t="shared" si="13"/>
        <v>12597</v>
      </c>
      <c r="AB107" s="260">
        <f>SUM(W107:W110)</f>
        <v>2108347</v>
      </c>
      <c r="AC107" s="260">
        <f>SUM(Z107:Z110)</f>
        <v>0</v>
      </c>
      <c r="AD107" s="261"/>
      <c r="AE107" s="261"/>
      <c r="AF107" s="34" t="s">
        <v>160</v>
      </c>
    </row>
    <row r="108" spans="1:32" ht="15" customHeight="1" x14ac:dyDescent="0.35">
      <c r="A108" s="264"/>
      <c r="B108" s="272"/>
      <c r="C108" s="272"/>
      <c r="D108" s="25" t="s">
        <v>17</v>
      </c>
      <c r="E108" s="50" t="s">
        <v>161</v>
      </c>
      <c r="F108" s="55" t="s">
        <v>57</v>
      </c>
      <c r="G108" s="27" t="s">
        <v>58</v>
      </c>
      <c r="H108" s="27">
        <v>60</v>
      </c>
      <c r="I108" s="45">
        <v>850</v>
      </c>
      <c r="J108" s="45">
        <v>51000</v>
      </c>
      <c r="K108" s="45">
        <v>0</v>
      </c>
      <c r="L108" s="45"/>
      <c r="M108" s="45"/>
      <c r="N108" s="45">
        <v>38980</v>
      </c>
      <c r="O108" s="45"/>
      <c r="P108" s="45">
        <v>0</v>
      </c>
      <c r="Q108" s="45"/>
      <c r="R108" s="45">
        <v>12020</v>
      </c>
      <c r="S108" s="58"/>
      <c r="T108" s="58"/>
      <c r="U108" s="58">
        <v>0</v>
      </c>
      <c r="V108" s="59"/>
      <c r="W108" s="31">
        <f t="shared" si="11"/>
        <v>38980</v>
      </c>
      <c r="X108" s="60" t="e">
        <f>#REF!-W108</f>
        <v>#REF!</v>
      </c>
      <c r="Y108" s="60"/>
      <c r="Z108" s="33">
        <f t="shared" si="12"/>
        <v>0</v>
      </c>
      <c r="AA108" s="33">
        <f t="shared" si="13"/>
        <v>12020</v>
      </c>
      <c r="AB108" s="261"/>
      <c r="AC108" s="261"/>
      <c r="AD108" s="261"/>
      <c r="AE108" s="261"/>
      <c r="AF108" s="34" t="s">
        <v>162</v>
      </c>
    </row>
    <row r="109" spans="1:32" ht="15" customHeight="1" x14ac:dyDescent="0.35">
      <c r="A109" s="264"/>
      <c r="B109" s="272"/>
      <c r="C109" s="272"/>
      <c r="D109" s="25" t="s">
        <v>17</v>
      </c>
      <c r="E109" s="50" t="s">
        <v>161</v>
      </c>
      <c r="F109" s="55" t="s">
        <v>36</v>
      </c>
      <c r="G109" s="27" t="s">
        <v>55</v>
      </c>
      <c r="H109" s="27">
        <v>1</v>
      </c>
      <c r="I109" s="45">
        <v>3750</v>
      </c>
      <c r="J109" s="45">
        <v>3750</v>
      </c>
      <c r="K109" s="45">
        <v>0</v>
      </c>
      <c r="L109" s="45"/>
      <c r="M109" s="45"/>
      <c r="N109" s="45"/>
      <c r="O109" s="45"/>
      <c r="P109" s="45">
        <v>0</v>
      </c>
      <c r="Q109" s="45"/>
      <c r="R109" s="45">
        <v>3750</v>
      </c>
      <c r="S109" s="58"/>
      <c r="T109" s="58"/>
      <c r="U109" s="58">
        <v>0</v>
      </c>
      <c r="V109" s="59"/>
      <c r="W109" s="31">
        <f t="shared" si="11"/>
        <v>0</v>
      </c>
      <c r="X109" s="60" t="e">
        <f>#REF!-W109</f>
        <v>#REF!</v>
      </c>
      <c r="Y109" s="60"/>
      <c r="Z109" s="33">
        <f t="shared" si="12"/>
        <v>0</v>
      </c>
      <c r="AA109" s="33">
        <f t="shared" si="13"/>
        <v>3750</v>
      </c>
      <c r="AB109" s="261"/>
      <c r="AC109" s="261"/>
      <c r="AD109" s="261"/>
      <c r="AE109" s="261"/>
      <c r="AF109" s="34" t="s">
        <v>163</v>
      </c>
    </row>
    <row r="110" spans="1:32" ht="15" customHeight="1" x14ac:dyDescent="0.35">
      <c r="A110" s="264"/>
      <c r="B110" s="272"/>
      <c r="C110" s="272"/>
      <c r="D110" s="25" t="s">
        <v>17</v>
      </c>
      <c r="E110" s="50" t="s">
        <v>161</v>
      </c>
      <c r="F110" s="55" t="s">
        <v>64</v>
      </c>
      <c r="G110" s="27" t="s">
        <v>86</v>
      </c>
      <c r="H110" s="27">
        <v>1</v>
      </c>
      <c r="I110" s="35">
        <v>3300000</v>
      </c>
      <c r="J110" s="35">
        <v>2025000</v>
      </c>
      <c r="K110" s="35">
        <v>0</v>
      </c>
      <c r="L110" s="35"/>
      <c r="M110" s="35"/>
      <c r="N110" s="35"/>
      <c r="O110" s="35"/>
      <c r="P110" s="35">
        <v>0</v>
      </c>
      <c r="Q110" s="35"/>
      <c r="R110" s="35">
        <v>2025000</v>
      </c>
      <c r="S110" s="58"/>
      <c r="T110" s="58"/>
      <c r="U110" s="58">
        <f>2025000+28367</f>
        <v>2053367</v>
      </c>
      <c r="V110" s="59">
        <v>0</v>
      </c>
      <c r="W110" s="31">
        <f t="shared" si="11"/>
        <v>2053367</v>
      </c>
      <c r="X110" s="60" t="e">
        <f>#REF!-W110</f>
        <v>#REF!</v>
      </c>
      <c r="Y110" s="60"/>
      <c r="Z110" s="33">
        <f t="shared" si="12"/>
        <v>0</v>
      </c>
      <c r="AA110" s="33">
        <f t="shared" si="13"/>
        <v>-28367</v>
      </c>
      <c r="AB110" s="262"/>
      <c r="AC110" s="262"/>
      <c r="AD110" s="261"/>
      <c r="AE110" s="261"/>
      <c r="AF110" s="34" t="s">
        <v>164</v>
      </c>
    </row>
    <row r="111" spans="1:32" ht="15" customHeight="1" x14ac:dyDescent="0.35">
      <c r="A111" s="264"/>
      <c r="B111" s="272"/>
      <c r="C111" s="39"/>
      <c r="D111" s="39"/>
      <c r="E111" s="53"/>
      <c r="F111" s="57"/>
      <c r="G111" s="41"/>
      <c r="H111" s="41"/>
      <c r="I111" s="42"/>
      <c r="J111" s="42">
        <f>SUM(J107:J110)</f>
        <v>2108347</v>
      </c>
      <c r="K111" s="42">
        <f t="shared" ref="K111:V111" si="17">SUM(K107:K110)</f>
        <v>0</v>
      </c>
      <c r="L111" s="42">
        <f t="shared" si="17"/>
        <v>0</v>
      </c>
      <c r="M111" s="42">
        <f t="shared" si="17"/>
        <v>0</v>
      </c>
      <c r="N111" s="42">
        <f t="shared" si="17"/>
        <v>38980</v>
      </c>
      <c r="O111" s="42">
        <f t="shared" si="17"/>
        <v>0</v>
      </c>
      <c r="P111" s="42">
        <f t="shared" si="17"/>
        <v>0</v>
      </c>
      <c r="Q111" s="42">
        <f t="shared" si="17"/>
        <v>0</v>
      </c>
      <c r="R111" s="42">
        <f t="shared" si="17"/>
        <v>2069367</v>
      </c>
      <c r="S111" s="42">
        <f t="shared" si="17"/>
        <v>0</v>
      </c>
      <c r="T111" s="42">
        <f t="shared" si="17"/>
        <v>0</v>
      </c>
      <c r="U111" s="42">
        <f t="shared" si="17"/>
        <v>2069367</v>
      </c>
      <c r="V111" s="42">
        <f t="shared" si="17"/>
        <v>0</v>
      </c>
      <c r="W111" s="42">
        <f>SUM(W107:W110)</f>
        <v>2108347</v>
      </c>
      <c r="X111" s="42" t="e">
        <f t="shared" ref="X111:AC111" si="18">SUM(X107:X110)</f>
        <v>#REF!</v>
      </c>
      <c r="Y111" s="42">
        <f t="shared" si="18"/>
        <v>0</v>
      </c>
      <c r="Z111" s="42">
        <f t="shared" si="18"/>
        <v>0</v>
      </c>
      <c r="AA111" s="42">
        <f t="shared" si="18"/>
        <v>0</v>
      </c>
      <c r="AB111" s="42">
        <f t="shared" si="18"/>
        <v>2108347</v>
      </c>
      <c r="AC111" s="42">
        <f t="shared" si="18"/>
        <v>0</v>
      </c>
      <c r="AD111" s="261"/>
      <c r="AE111" s="261"/>
      <c r="AF111" s="49"/>
    </row>
    <row r="112" spans="1:32" ht="15" customHeight="1" x14ac:dyDescent="0.35">
      <c r="A112" s="264"/>
      <c r="B112" s="272"/>
      <c r="C112" s="272" t="s">
        <v>165</v>
      </c>
      <c r="D112" s="25" t="s">
        <v>17</v>
      </c>
      <c r="E112" s="50" t="s">
        <v>27</v>
      </c>
      <c r="F112" s="55" t="s">
        <v>28</v>
      </c>
      <c r="G112" s="27" t="s">
        <v>29</v>
      </c>
      <c r="H112" s="27">
        <v>6</v>
      </c>
      <c r="I112" s="45">
        <v>5083.3333000000002</v>
      </c>
      <c r="J112" s="45">
        <v>30499.999800000001</v>
      </c>
      <c r="K112" s="45">
        <v>0</v>
      </c>
      <c r="L112" s="45">
        <v>17563</v>
      </c>
      <c r="M112" s="45"/>
      <c r="N112" s="45">
        <v>5385.03</v>
      </c>
      <c r="O112" s="45">
        <v>0</v>
      </c>
      <c r="P112" s="45"/>
      <c r="Q112" s="45"/>
      <c r="R112" s="45">
        <v>7551.9698000000026</v>
      </c>
      <c r="S112" s="222">
        <v>7551.9698000000026</v>
      </c>
      <c r="T112" s="58"/>
      <c r="U112" s="58">
        <v>0</v>
      </c>
      <c r="V112" s="59"/>
      <c r="W112" s="31">
        <f t="shared" si="11"/>
        <v>30499.999800000001</v>
      </c>
      <c r="X112" s="60" t="e">
        <f>#REF!-W112</f>
        <v>#REF!</v>
      </c>
      <c r="Y112" s="60"/>
      <c r="Z112" s="33">
        <f t="shared" si="12"/>
        <v>0</v>
      </c>
      <c r="AA112" s="33">
        <f t="shared" si="13"/>
        <v>0</v>
      </c>
      <c r="AB112" s="260">
        <f>SUM(W112:W117)</f>
        <v>218499.99979999999</v>
      </c>
      <c r="AC112" s="260">
        <f>SUM(Z112:Z117)</f>
        <v>50246.7</v>
      </c>
      <c r="AD112" s="261"/>
      <c r="AE112" s="261"/>
      <c r="AF112" s="34" t="s">
        <v>166</v>
      </c>
    </row>
    <row r="113" spans="1:32" ht="15" customHeight="1" x14ac:dyDescent="0.35">
      <c r="A113" s="264"/>
      <c r="B113" s="272"/>
      <c r="C113" s="272"/>
      <c r="D113" s="25" t="s">
        <v>17</v>
      </c>
      <c r="E113" s="50" t="s">
        <v>27</v>
      </c>
      <c r="F113" s="55" t="s">
        <v>28</v>
      </c>
      <c r="G113" s="27" t="s">
        <v>29</v>
      </c>
      <c r="H113" s="27">
        <v>24</v>
      </c>
      <c r="I113" s="45">
        <f>144000/24</f>
        <v>6000</v>
      </c>
      <c r="J113" s="45">
        <v>144000</v>
      </c>
      <c r="K113" s="45">
        <v>0</v>
      </c>
      <c r="L113" s="45"/>
      <c r="M113" s="45"/>
      <c r="N113" s="45"/>
      <c r="O113" s="45">
        <v>6892.7</v>
      </c>
      <c r="P113" s="45"/>
      <c r="Q113" s="45"/>
      <c r="R113" s="45">
        <v>144000</v>
      </c>
      <c r="S113" s="222">
        <v>72000</v>
      </c>
      <c r="T113" s="58"/>
      <c r="U113" s="58">
        <v>72000</v>
      </c>
      <c r="V113" s="59"/>
      <c r="W113" s="31">
        <f t="shared" si="11"/>
        <v>144000</v>
      </c>
      <c r="X113" s="60" t="e">
        <f>#REF!-W113</f>
        <v>#REF!</v>
      </c>
      <c r="Y113" s="60"/>
      <c r="Z113" s="33">
        <f t="shared" si="12"/>
        <v>6892.7</v>
      </c>
      <c r="AA113" s="33">
        <f t="shared" si="13"/>
        <v>0</v>
      </c>
      <c r="AB113" s="261"/>
      <c r="AC113" s="261"/>
      <c r="AD113" s="261"/>
      <c r="AE113" s="261"/>
      <c r="AF113" s="34" t="s">
        <v>167</v>
      </c>
    </row>
    <row r="114" spans="1:32" ht="15" customHeight="1" x14ac:dyDescent="0.35">
      <c r="A114" s="264"/>
      <c r="B114" s="272"/>
      <c r="C114" s="272"/>
      <c r="D114" s="25" t="s">
        <v>31</v>
      </c>
      <c r="E114" s="50" t="s">
        <v>27</v>
      </c>
      <c r="F114" s="55" t="s">
        <v>28</v>
      </c>
      <c r="G114" s="27" t="s">
        <v>29</v>
      </c>
      <c r="H114" s="27">
        <v>24</v>
      </c>
      <c r="I114" s="45">
        <f>40354/24</f>
        <v>1681.4166666666667</v>
      </c>
      <c r="J114" s="45">
        <v>0</v>
      </c>
      <c r="K114" s="45">
        <v>40354</v>
      </c>
      <c r="L114" s="45"/>
      <c r="M114" s="45"/>
      <c r="N114" s="45"/>
      <c r="O114" s="45">
        <v>14659.800000000001</v>
      </c>
      <c r="P114" s="45"/>
      <c r="Q114" s="45"/>
      <c r="R114" s="45">
        <v>0</v>
      </c>
      <c r="S114" s="222"/>
      <c r="T114" s="58">
        <v>25694.2</v>
      </c>
      <c r="U114" s="58">
        <v>0</v>
      </c>
      <c r="V114" s="59"/>
      <c r="W114" s="31">
        <f t="shared" si="11"/>
        <v>0</v>
      </c>
      <c r="X114" s="60" t="e">
        <f>#REF!-W114</f>
        <v>#REF!</v>
      </c>
      <c r="Y114" s="60"/>
      <c r="Z114" s="33">
        <f t="shared" si="12"/>
        <v>40354</v>
      </c>
      <c r="AA114" s="33">
        <f t="shared" si="13"/>
        <v>0</v>
      </c>
      <c r="AB114" s="261"/>
      <c r="AC114" s="261"/>
      <c r="AD114" s="261"/>
      <c r="AE114" s="261"/>
      <c r="AF114" s="34" t="s">
        <v>168</v>
      </c>
    </row>
    <row r="115" spans="1:32" ht="15" customHeight="1" x14ac:dyDescent="0.35">
      <c r="A115" s="264"/>
      <c r="B115" s="272"/>
      <c r="C115" s="272"/>
      <c r="D115" s="25" t="s">
        <v>33</v>
      </c>
      <c r="E115" s="50" t="s">
        <v>34</v>
      </c>
      <c r="F115" s="55" t="s">
        <v>28</v>
      </c>
      <c r="G115" s="27" t="s">
        <v>29</v>
      </c>
      <c r="H115" s="27">
        <v>4</v>
      </c>
      <c r="I115" s="45">
        <f>3000/4</f>
        <v>750</v>
      </c>
      <c r="J115" s="45">
        <v>0</v>
      </c>
      <c r="K115" s="45">
        <v>3000</v>
      </c>
      <c r="L115" s="45"/>
      <c r="M115" s="45"/>
      <c r="N115" s="45"/>
      <c r="O115" s="45">
        <v>0</v>
      </c>
      <c r="P115" s="45"/>
      <c r="Q115" s="45"/>
      <c r="R115" s="45">
        <v>0</v>
      </c>
      <c r="S115" s="58"/>
      <c r="T115" s="58">
        <v>3000</v>
      </c>
      <c r="U115" s="58">
        <v>0</v>
      </c>
      <c r="V115" s="59"/>
      <c r="W115" s="31">
        <f t="shared" si="11"/>
        <v>0</v>
      </c>
      <c r="X115" s="60" t="e">
        <f>#REF!-W115</f>
        <v>#REF!</v>
      </c>
      <c r="Y115" s="60"/>
      <c r="Z115" s="33">
        <f t="shared" si="12"/>
        <v>3000</v>
      </c>
      <c r="AA115" s="33">
        <f t="shared" si="13"/>
        <v>0</v>
      </c>
      <c r="AB115" s="261"/>
      <c r="AC115" s="261"/>
      <c r="AD115" s="261"/>
      <c r="AE115" s="261"/>
      <c r="AF115" s="34" t="s">
        <v>169</v>
      </c>
    </row>
    <row r="116" spans="1:32" ht="15" customHeight="1" x14ac:dyDescent="0.35">
      <c r="A116" s="264"/>
      <c r="B116" s="272"/>
      <c r="C116" s="272"/>
      <c r="D116" s="25" t="s">
        <v>17</v>
      </c>
      <c r="E116" s="50" t="s">
        <v>27</v>
      </c>
      <c r="F116" s="55" t="s">
        <v>36</v>
      </c>
      <c r="G116" s="27" t="s">
        <v>55</v>
      </c>
      <c r="H116" s="27">
        <v>4</v>
      </c>
      <c r="I116" s="45">
        <v>3500</v>
      </c>
      <c r="J116" s="45">
        <v>14000</v>
      </c>
      <c r="K116" s="45">
        <v>0</v>
      </c>
      <c r="L116" s="45">
        <v>12649.8</v>
      </c>
      <c r="M116" s="45"/>
      <c r="N116" s="45">
        <v>-56.6</v>
      </c>
      <c r="O116" s="45">
        <v>0</v>
      </c>
      <c r="P116" s="45"/>
      <c r="Q116" s="45"/>
      <c r="R116" s="45">
        <v>1406.8000000000011</v>
      </c>
      <c r="S116" s="222">
        <v>1406.8000000000011</v>
      </c>
      <c r="T116" s="58"/>
      <c r="U116" s="58">
        <v>0</v>
      </c>
      <c r="V116" s="59"/>
      <c r="W116" s="31">
        <f t="shared" si="11"/>
        <v>14000</v>
      </c>
      <c r="X116" s="60" t="e">
        <f>#REF!-W116</f>
        <v>#REF!</v>
      </c>
      <c r="Y116" s="60"/>
      <c r="Z116" s="33">
        <f t="shared" si="12"/>
        <v>0</v>
      </c>
      <c r="AA116" s="33">
        <f t="shared" si="13"/>
        <v>0</v>
      </c>
      <c r="AB116" s="261"/>
      <c r="AC116" s="261"/>
      <c r="AD116" s="261"/>
      <c r="AE116" s="261"/>
      <c r="AF116" s="34" t="s">
        <v>170</v>
      </c>
    </row>
    <row r="117" spans="1:32" ht="15" customHeight="1" x14ac:dyDescent="0.35">
      <c r="A117" s="264"/>
      <c r="B117" s="272"/>
      <c r="C117" s="272"/>
      <c r="D117" s="25" t="s">
        <v>17</v>
      </c>
      <c r="E117" s="50" t="s">
        <v>27</v>
      </c>
      <c r="F117" s="55" t="s">
        <v>39</v>
      </c>
      <c r="G117" s="27" t="s">
        <v>40</v>
      </c>
      <c r="H117" s="27">
        <v>4</v>
      </c>
      <c r="I117" s="35">
        <v>7500</v>
      </c>
      <c r="J117" s="35">
        <v>30000</v>
      </c>
      <c r="K117" s="35">
        <v>0</v>
      </c>
      <c r="L117" s="35"/>
      <c r="M117" s="35"/>
      <c r="N117" s="35"/>
      <c r="O117" s="35">
        <v>0</v>
      </c>
      <c r="P117" s="35"/>
      <c r="Q117" s="35"/>
      <c r="R117" s="35">
        <v>30000</v>
      </c>
      <c r="S117" s="222">
        <v>15000</v>
      </c>
      <c r="T117" s="58"/>
      <c r="U117" s="58">
        <v>15000</v>
      </c>
      <c r="V117" s="59"/>
      <c r="W117" s="31">
        <f t="shared" si="11"/>
        <v>30000</v>
      </c>
      <c r="X117" s="60" t="e">
        <f>#REF!-W117</f>
        <v>#REF!</v>
      </c>
      <c r="Y117" s="60"/>
      <c r="Z117" s="33">
        <f t="shared" si="12"/>
        <v>0</v>
      </c>
      <c r="AA117" s="33">
        <f t="shared" si="13"/>
        <v>0</v>
      </c>
      <c r="AB117" s="262"/>
      <c r="AC117" s="262"/>
      <c r="AD117" s="261"/>
      <c r="AE117" s="261"/>
      <c r="AF117" s="34" t="s">
        <v>171</v>
      </c>
    </row>
    <row r="118" spans="1:32" ht="15" customHeight="1" x14ac:dyDescent="0.35">
      <c r="A118" s="264"/>
      <c r="B118" s="272"/>
      <c r="C118" s="39"/>
      <c r="D118" s="39"/>
      <c r="E118" s="53"/>
      <c r="F118" s="57"/>
      <c r="G118" s="41"/>
      <c r="H118" s="41"/>
      <c r="I118" s="42"/>
      <c r="J118" s="42">
        <f>SUM(J112:J117)</f>
        <v>218499.99979999999</v>
      </c>
      <c r="K118" s="42">
        <f t="shared" ref="K118:AC118" si="19">SUM(K112:K117)</f>
        <v>43354</v>
      </c>
      <c r="L118" s="42">
        <f t="shared" si="19"/>
        <v>30212.799999999999</v>
      </c>
      <c r="M118" s="42">
        <f t="shared" si="19"/>
        <v>0</v>
      </c>
      <c r="N118" s="42">
        <f t="shared" si="19"/>
        <v>5328.4299999999994</v>
      </c>
      <c r="O118" s="42">
        <f t="shared" si="19"/>
        <v>21552.5</v>
      </c>
      <c r="P118" s="42">
        <f t="shared" si="19"/>
        <v>0</v>
      </c>
      <c r="Q118" s="42">
        <f t="shared" si="19"/>
        <v>0</v>
      </c>
      <c r="R118" s="42">
        <f t="shared" si="19"/>
        <v>182958.76979999998</v>
      </c>
      <c r="S118" s="42">
        <f t="shared" si="19"/>
        <v>95958.769800000009</v>
      </c>
      <c r="T118" s="42">
        <f t="shared" si="19"/>
        <v>28694.2</v>
      </c>
      <c r="U118" s="42">
        <f t="shared" si="19"/>
        <v>87000</v>
      </c>
      <c r="V118" s="42">
        <f t="shared" si="19"/>
        <v>0</v>
      </c>
      <c r="W118" s="42">
        <f t="shared" si="19"/>
        <v>218499.99979999999</v>
      </c>
      <c r="X118" s="42" t="e">
        <f t="shared" si="19"/>
        <v>#REF!</v>
      </c>
      <c r="Y118" s="42">
        <f t="shared" si="19"/>
        <v>0</v>
      </c>
      <c r="Z118" s="42">
        <f t="shared" si="19"/>
        <v>50246.7</v>
      </c>
      <c r="AA118" s="42">
        <f t="shared" si="19"/>
        <v>0</v>
      </c>
      <c r="AB118" s="42">
        <f t="shared" si="19"/>
        <v>218499.99979999999</v>
      </c>
      <c r="AC118" s="42">
        <f t="shared" si="19"/>
        <v>50246.7</v>
      </c>
      <c r="AD118" s="261"/>
      <c r="AE118" s="261"/>
      <c r="AF118" s="49"/>
    </row>
    <row r="119" spans="1:32" ht="15" customHeight="1" x14ac:dyDescent="0.35">
      <c r="A119" s="264"/>
      <c r="B119" s="272"/>
      <c r="C119" s="272" t="s">
        <v>172</v>
      </c>
      <c r="D119" s="25" t="s">
        <v>17</v>
      </c>
      <c r="E119" s="50" t="s">
        <v>27</v>
      </c>
      <c r="F119" s="55" t="s">
        <v>28</v>
      </c>
      <c r="G119" s="27" t="s">
        <v>173</v>
      </c>
      <c r="H119" s="27">
        <v>24</v>
      </c>
      <c r="I119" s="35">
        <f>96350/24</f>
        <v>4014.5833333333335</v>
      </c>
      <c r="J119" s="35">
        <v>96350</v>
      </c>
      <c r="K119" s="35">
        <v>0</v>
      </c>
      <c r="L119" s="35"/>
      <c r="M119" s="35"/>
      <c r="N119" s="35"/>
      <c r="O119" s="35">
        <v>0</v>
      </c>
      <c r="P119" s="35"/>
      <c r="Q119" s="35"/>
      <c r="R119" s="35">
        <v>96350</v>
      </c>
      <c r="S119" s="222">
        <v>48175</v>
      </c>
      <c r="T119" s="58"/>
      <c r="U119" s="58">
        <v>48175</v>
      </c>
      <c r="V119" s="59"/>
      <c r="W119" s="31">
        <f t="shared" si="11"/>
        <v>96350</v>
      </c>
      <c r="X119" s="60" t="e">
        <f>#REF!-W119</f>
        <v>#REF!</v>
      </c>
      <c r="Y119" s="60"/>
      <c r="Z119" s="33">
        <f t="shared" si="12"/>
        <v>0</v>
      </c>
      <c r="AA119" s="33">
        <f t="shared" si="13"/>
        <v>0</v>
      </c>
      <c r="AB119" s="260">
        <f>SUM(W119:W123)</f>
        <v>112900</v>
      </c>
      <c r="AC119" s="260">
        <f>SUM(Z119:Z123)</f>
        <v>28000</v>
      </c>
      <c r="AD119" s="261"/>
      <c r="AE119" s="261"/>
      <c r="AF119" s="34" t="s">
        <v>174</v>
      </c>
    </row>
    <row r="120" spans="1:32" ht="15" customHeight="1" x14ac:dyDescent="0.35">
      <c r="A120" s="264"/>
      <c r="B120" s="272"/>
      <c r="C120" s="272"/>
      <c r="D120" s="25" t="s">
        <v>31</v>
      </c>
      <c r="E120" s="50" t="s">
        <v>27</v>
      </c>
      <c r="F120" s="55" t="s">
        <v>28</v>
      </c>
      <c r="G120" s="27" t="s">
        <v>173</v>
      </c>
      <c r="H120" s="27">
        <v>24</v>
      </c>
      <c r="I120" s="35">
        <f>26000/24</f>
        <v>1083.3333333333333</v>
      </c>
      <c r="J120" s="35">
        <v>0</v>
      </c>
      <c r="K120" s="35">
        <v>26000</v>
      </c>
      <c r="L120" s="35"/>
      <c r="M120" s="35"/>
      <c r="N120" s="35"/>
      <c r="O120" s="35">
        <v>1491.35</v>
      </c>
      <c r="P120" s="35"/>
      <c r="Q120" s="35"/>
      <c r="R120" s="35">
        <v>0</v>
      </c>
      <c r="S120" s="222"/>
      <c r="T120" s="58">
        <v>24508.65</v>
      </c>
      <c r="U120" s="58">
        <v>0</v>
      </c>
      <c r="V120" s="59"/>
      <c r="W120" s="31">
        <f t="shared" si="11"/>
        <v>0</v>
      </c>
      <c r="X120" s="60" t="e">
        <f>#REF!-W120</f>
        <v>#REF!</v>
      </c>
      <c r="Y120" s="60"/>
      <c r="Z120" s="33">
        <f t="shared" si="12"/>
        <v>26000</v>
      </c>
      <c r="AA120" s="33">
        <f t="shared" si="13"/>
        <v>0</v>
      </c>
      <c r="AB120" s="261"/>
      <c r="AC120" s="261"/>
      <c r="AD120" s="261"/>
      <c r="AE120" s="261"/>
      <c r="AF120" s="34" t="s">
        <v>175</v>
      </c>
    </row>
    <row r="121" spans="1:32" ht="15" customHeight="1" x14ac:dyDescent="0.35">
      <c r="A121" s="264"/>
      <c r="B121" s="272"/>
      <c r="C121" s="272"/>
      <c r="D121" s="25" t="s">
        <v>33</v>
      </c>
      <c r="E121" s="50" t="s">
        <v>34</v>
      </c>
      <c r="F121" s="55" t="s">
        <v>28</v>
      </c>
      <c r="G121" s="27" t="s">
        <v>173</v>
      </c>
      <c r="H121" s="27">
        <v>1</v>
      </c>
      <c r="I121" s="35">
        <v>2000</v>
      </c>
      <c r="J121" s="35">
        <v>0</v>
      </c>
      <c r="K121" s="35">
        <v>2000</v>
      </c>
      <c r="L121" s="35"/>
      <c r="M121" s="35"/>
      <c r="N121" s="35"/>
      <c r="O121" s="35">
        <v>0</v>
      </c>
      <c r="P121" s="35"/>
      <c r="Q121" s="35"/>
      <c r="R121" s="35">
        <v>0</v>
      </c>
      <c r="S121" s="58"/>
      <c r="T121" s="58">
        <v>2000</v>
      </c>
      <c r="U121" s="58">
        <v>0</v>
      </c>
      <c r="V121" s="59"/>
      <c r="W121" s="31">
        <f t="shared" si="11"/>
        <v>0</v>
      </c>
      <c r="X121" s="60" t="e">
        <f>#REF!-W121</f>
        <v>#REF!</v>
      </c>
      <c r="Y121" s="60"/>
      <c r="Z121" s="33">
        <f t="shared" si="12"/>
        <v>2000</v>
      </c>
      <c r="AA121" s="33">
        <f t="shared" si="13"/>
        <v>0</v>
      </c>
      <c r="AB121" s="261"/>
      <c r="AC121" s="261"/>
      <c r="AD121" s="261"/>
      <c r="AE121" s="261"/>
      <c r="AF121" s="34" t="s">
        <v>176</v>
      </c>
    </row>
    <row r="122" spans="1:32" ht="16" customHeight="1" x14ac:dyDescent="0.35">
      <c r="A122" s="264"/>
      <c r="B122" s="272"/>
      <c r="C122" s="272"/>
      <c r="D122" s="25" t="s">
        <v>17</v>
      </c>
      <c r="E122" s="50" t="s">
        <v>27</v>
      </c>
      <c r="F122" s="55" t="s">
        <v>36</v>
      </c>
      <c r="G122" s="27" t="s">
        <v>37</v>
      </c>
      <c r="H122" s="27">
        <v>2</v>
      </c>
      <c r="I122" s="35">
        <v>3500</v>
      </c>
      <c r="J122" s="35">
        <v>7000</v>
      </c>
      <c r="K122" s="35">
        <v>0</v>
      </c>
      <c r="L122" s="35"/>
      <c r="M122" s="35"/>
      <c r="N122" s="35"/>
      <c r="O122" s="35">
        <v>0</v>
      </c>
      <c r="P122" s="35"/>
      <c r="Q122" s="35"/>
      <c r="R122" s="35">
        <v>7000</v>
      </c>
      <c r="S122" s="222">
        <v>7000</v>
      </c>
      <c r="T122" s="58"/>
      <c r="U122" s="58">
        <v>0</v>
      </c>
      <c r="V122" s="59"/>
      <c r="W122" s="31">
        <f t="shared" si="11"/>
        <v>7000</v>
      </c>
      <c r="X122" s="60" t="e">
        <f>#REF!-W122</f>
        <v>#REF!</v>
      </c>
      <c r="Y122" s="60"/>
      <c r="Z122" s="33">
        <f t="shared" si="12"/>
        <v>0</v>
      </c>
      <c r="AA122" s="33">
        <f t="shared" si="13"/>
        <v>0</v>
      </c>
      <c r="AB122" s="261"/>
      <c r="AC122" s="261"/>
      <c r="AD122" s="261"/>
      <c r="AE122" s="261"/>
      <c r="AF122" s="34" t="s">
        <v>177</v>
      </c>
    </row>
    <row r="123" spans="1:32" ht="15" customHeight="1" x14ac:dyDescent="0.35">
      <c r="A123" s="264"/>
      <c r="B123" s="272"/>
      <c r="C123" s="272"/>
      <c r="D123" s="25" t="s">
        <v>17</v>
      </c>
      <c r="E123" s="50" t="s">
        <v>27</v>
      </c>
      <c r="F123" s="55" t="s">
        <v>39</v>
      </c>
      <c r="G123" s="27" t="s">
        <v>40</v>
      </c>
      <c r="H123" s="27">
        <v>1</v>
      </c>
      <c r="I123" s="35">
        <v>9550</v>
      </c>
      <c r="J123" s="35">
        <v>9550</v>
      </c>
      <c r="K123" s="35">
        <v>0</v>
      </c>
      <c r="L123" s="35"/>
      <c r="M123" s="35"/>
      <c r="N123" s="35"/>
      <c r="O123" s="35">
        <v>0</v>
      </c>
      <c r="P123" s="35"/>
      <c r="Q123" s="35"/>
      <c r="R123" s="35">
        <v>9550</v>
      </c>
      <c r="S123" s="222">
        <v>9550</v>
      </c>
      <c r="T123" s="58"/>
      <c r="U123" s="58">
        <v>0</v>
      </c>
      <c r="V123" s="59"/>
      <c r="W123" s="31">
        <f t="shared" si="11"/>
        <v>9550</v>
      </c>
      <c r="X123" s="60" t="e">
        <f>#REF!-W123</f>
        <v>#REF!</v>
      </c>
      <c r="Y123" s="60"/>
      <c r="Z123" s="33">
        <f t="shared" si="12"/>
        <v>0</v>
      </c>
      <c r="AA123" s="33">
        <f t="shared" si="13"/>
        <v>0</v>
      </c>
      <c r="AB123" s="262"/>
      <c r="AC123" s="262"/>
      <c r="AD123" s="261"/>
      <c r="AE123" s="261"/>
      <c r="AF123" s="34" t="s">
        <v>178</v>
      </c>
    </row>
    <row r="124" spans="1:32" ht="15" customHeight="1" x14ac:dyDescent="0.35">
      <c r="A124" s="264"/>
      <c r="B124" s="272"/>
      <c r="C124" s="39"/>
      <c r="D124" s="39"/>
      <c r="E124" s="53"/>
      <c r="F124" s="57"/>
      <c r="G124" s="41"/>
      <c r="H124" s="41"/>
      <c r="I124" s="42"/>
      <c r="J124" s="42">
        <f>SUM(J119:J123)</f>
        <v>112900</v>
      </c>
      <c r="K124" s="42">
        <f t="shared" ref="K124:AC124" si="20">SUM(K119:K123)</f>
        <v>28000</v>
      </c>
      <c r="L124" s="42">
        <f t="shared" si="20"/>
        <v>0</v>
      </c>
      <c r="M124" s="42">
        <f t="shared" si="20"/>
        <v>0</v>
      </c>
      <c r="N124" s="42">
        <f t="shared" si="20"/>
        <v>0</v>
      </c>
      <c r="O124" s="42">
        <f t="shared" si="20"/>
        <v>1491.35</v>
      </c>
      <c r="P124" s="42">
        <f t="shared" si="20"/>
        <v>0</v>
      </c>
      <c r="Q124" s="42">
        <f t="shared" si="20"/>
        <v>0</v>
      </c>
      <c r="R124" s="42">
        <f t="shared" si="20"/>
        <v>112900</v>
      </c>
      <c r="S124" s="42">
        <f t="shared" si="20"/>
        <v>64725</v>
      </c>
      <c r="T124" s="42">
        <f t="shared" si="20"/>
        <v>26508.65</v>
      </c>
      <c r="U124" s="42">
        <f t="shared" si="20"/>
        <v>48175</v>
      </c>
      <c r="V124" s="42">
        <f t="shared" si="20"/>
        <v>0</v>
      </c>
      <c r="W124" s="42">
        <f t="shared" si="20"/>
        <v>112900</v>
      </c>
      <c r="X124" s="42" t="e">
        <f t="shared" si="20"/>
        <v>#REF!</v>
      </c>
      <c r="Y124" s="42">
        <f t="shared" si="20"/>
        <v>0</v>
      </c>
      <c r="Z124" s="42">
        <f t="shared" si="20"/>
        <v>28000</v>
      </c>
      <c r="AA124" s="42">
        <f t="shared" si="20"/>
        <v>0</v>
      </c>
      <c r="AB124" s="42">
        <f t="shared" si="20"/>
        <v>112900</v>
      </c>
      <c r="AC124" s="42">
        <f t="shared" si="20"/>
        <v>28000</v>
      </c>
      <c r="AD124" s="261"/>
      <c r="AE124" s="261"/>
      <c r="AF124" s="49"/>
    </row>
    <row r="125" spans="1:32" ht="15" customHeight="1" x14ac:dyDescent="0.35">
      <c r="A125" s="264"/>
      <c r="B125" s="272"/>
      <c r="C125" s="272" t="s">
        <v>179</v>
      </c>
      <c r="D125" s="25" t="s">
        <v>17</v>
      </c>
      <c r="E125" s="50" t="s">
        <v>104</v>
      </c>
      <c r="F125" s="55" t="s">
        <v>28</v>
      </c>
      <c r="G125" s="27" t="s">
        <v>29</v>
      </c>
      <c r="H125" s="27">
        <v>36</v>
      </c>
      <c r="I125" s="45">
        <v>6083.3333400000001</v>
      </c>
      <c r="J125" s="45">
        <v>240000</v>
      </c>
      <c r="K125" s="45">
        <v>0</v>
      </c>
      <c r="L125" s="45">
        <v>27364.04</v>
      </c>
      <c r="M125" s="45"/>
      <c r="N125" s="45">
        <v>28063.805219479997</v>
      </c>
      <c r="O125" s="45">
        <v>0</v>
      </c>
      <c r="P125" s="45">
        <v>176807.24</v>
      </c>
      <c r="Q125" s="45">
        <v>0</v>
      </c>
      <c r="R125" s="45">
        <v>7764.9147805200191</v>
      </c>
      <c r="S125" s="58">
        <v>7764.91</v>
      </c>
      <c r="T125" s="58">
        <v>0</v>
      </c>
      <c r="U125" s="58">
        <v>0</v>
      </c>
      <c r="V125" s="59"/>
      <c r="W125" s="31">
        <f t="shared" si="11"/>
        <v>239999.99521947998</v>
      </c>
      <c r="X125" s="60" t="e">
        <f>#REF!-W125</f>
        <v>#REF!</v>
      </c>
      <c r="Y125" s="60"/>
      <c r="Z125" s="33">
        <f t="shared" si="12"/>
        <v>0</v>
      </c>
      <c r="AA125" s="33">
        <f t="shared" si="13"/>
        <v>4.7805200156290084E-3</v>
      </c>
      <c r="AB125" s="260">
        <f>SUM(W125:W129)</f>
        <v>254999.99712202544</v>
      </c>
      <c r="AC125" s="260">
        <f>SUM(Z125:Z129)</f>
        <v>57935.144969716523</v>
      </c>
      <c r="AD125" s="261"/>
      <c r="AE125" s="261"/>
      <c r="AF125" s="34" t="s">
        <v>180</v>
      </c>
    </row>
    <row r="126" spans="1:32" ht="15" customHeight="1" x14ac:dyDescent="0.35">
      <c r="A126" s="264"/>
      <c r="B126" s="272"/>
      <c r="C126" s="272"/>
      <c r="D126" s="25" t="s">
        <v>31</v>
      </c>
      <c r="E126" s="50" t="s">
        <v>104</v>
      </c>
      <c r="F126" s="55" t="s">
        <v>28</v>
      </c>
      <c r="G126" s="27" t="s">
        <v>29</v>
      </c>
      <c r="H126" s="27">
        <v>36</v>
      </c>
      <c r="I126" s="45">
        <f>48000/36</f>
        <v>1333.3333333333333</v>
      </c>
      <c r="J126" s="45">
        <v>0</v>
      </c>
      <c r="K126" s="45">
        <v>48000</v>
      </c>
      <c r="L126" s="45"/>
      <c r="M126" s="45"/>
      <c r="N126" s="45"/>
      <c r="O126" s="45">
        <v>1645.127617538182</v>
      </c>
      <c r="P126" s="45">
        <v>0</v>
      </c>
      <c r="Q126" s="45">
        <v>18682.09019171667</v>
      </c>
      <c r="R126" s="45">
        <v>0</v>
      </c>
      <c r="S126" s="58"/>
      <c r="T126" s="58">
        <v>33607.927160461666</v>
      </c>
      <c r="U126" s="58">
        <v>0</v>
      </c>
      <c r="V126" s="59"/>
      <c r="W126" s="31">
        <f t="shared" si="11"/>
        <v>0</v>
      </c>
      <c r="X126" s="60" t="e">
        <f>#REF!-W126</f>
        <v>#REF!</v>
      </c>
      <c r="Y126" s="60"/>
      <c r="Z126" s="33">
        <f t="shared" si="12"/>
        <v>53935.144969716523</v>
      </c>
      <c r="AA126" s="33">
        <f t="shared" si="13"/>
        <v>0</v>
      </c>
      <c r="AB126" s="261"/>
      <c r="AC126" s="261"/>
      <c r="AD126" s="261"/>
      <c r="AE126" s="261"/>
      <c r="AF126" s="34" t="s">
        <v>181</v>
      </c>
    </row>
    <row r="127" spans="1:32" ht="15" customHeight="1" x14ac:dyDescent="0.35">
      <c r="A127" s="264"/>
      <c r="B127" s="272"/>
      <c r="C127" s="272"/>
      <c r="D127" s="25" t="s">
        <v>17</v>
      </c>
      <c r="E127" s="50" t="s">
        <v>104</v>
      </c>
      <c r="F127" s="55" t="s">
        <v>36</v>
      </c>
      <c r="G127" s="27" t="s">
        <v>55</v>
      </c>
      <c r="H127" s="27">
        <v>1</v>
      </c>
      <c r="I127" s="45">
        <v>3750</v>
      </c>
      <c r="J127" s="45">
        <v>15000</v>
      </c>
      <c r="K127" s="45">
        <v>0</v>
      </c>
      <c r="L127" s="45">
        <v>1881.07</v>
      </c>
      <c r="M127" s="45"/>
      <c r="N127" s="45">
        <v>1055.071902545455</v>
      </c>
      <c r="O127" s="45">
        <v>0</v>
      </c>
      <c r="P127" s="45">
        <v>0</v>
      </c>
      <c r="Q127" s="45">
        <v>0</v>
      </c>
      <c r="R127" s="45">
        <v>12063.858097454544</v>
      </c>
      <c r="S127" s="58">
        <v>12063.86</v>
      </c>
      <c r="T127" s="58"/>
      <c r="U127" s="58">
        <v>0</v>
      </c>
      <c r="V127" s="59"/>
      <c r="W127" s="31">
        <f t="shared" si="11"/>
        <v>15000.001902545457</v>
      </c>
      <c r="X127" s="60" t="e">
        <f>#REF!-W127</f>
        <v>#REF!</v>
      </c>
      <c r="Y127" s="60"/>
      <c r="Z127" s="33">
        <f t="shared" si="12"/>
        <v>0</v>
      </c>
      <c r="AA127" s="33">
        <f t="shared" si="13"/>
        <v>-1.9025454566872213E-3</v>
      </c>
      <c r="AB127" s="261"/>
      <c r="AC127" s="261"/>
      <c r="AD127" s="261"/>
      <c r="AE127" s="261"/>
      <c r="AF127" s="34" t="s">
        <v>182</v>
      </c>
    </row>
    <row r="128" spans="1:32" ht="15" customHeight="1" x14ac:dyDescent="0.35">
      <c r="A128" s="264"/>
      <c r="B128" s="272"/>
      <c r="C128" s="272"/>
      <c r="D128" s="25" t="s">
        <v>17</v>
      </c>
      <c r="E128" s="50" t="s">
        <v>104</v>
      </c>
      <c r="F128" s="55" t="s">
        <v>39</v>
      </c>
      <c r="G128" s="27"/>
      <c r="H128" s="27"/>
      <c r="I128" s="45"/>
      <c r="J128" s="45"/>
      <c r="K128" s="45"/>
      <c r="L128" s="45"/>
      <c r="M128" s="45"/>
      <c r="N128" s="45"/>
      <c r="O128" s="45">
        <v>0</v>
      </c>
      <c r="P128" s="45">
        <v>0</v>
      </c>
      <c r="Q128" s="45"/>
      <c r="R128" s="45">
        <v>0</v>
      </c>
      <c r="S128" s="58">
        <v>0</v>
      </c>
      <c r="T128" s="58">
        <v>4000</v>
      </c>
      <c r="U128" s="58">
        <v>0</v>
      </c>
      <c r="V128" s="59"/>
      <c r="W128" s="31">
        <f t="shared" si="11"/>
        <v>0</v>
      </c>
      <c r="X128" s="60" t="e">
        <f>#REF!-W128</f>
        <v>#REF!</v>
      </c>
      <c r="Y128" s="60"/>
      <c r="Z128" s="33">
        <f t="shared" si="12"/>
        <v>4000</v>
      </c>
      <c r="AA128" s="33">
        <f t="shared" si="13"/>
        <v>0</v>
      </c>
      <c r="AB128" s="261"/>
      <c r="AC128" s="261"/>
      <c r="AD128" s="261"/>
      <c r="AE128" s="261"/>
      <c r="AF128" s="34"/>
    </row>
    <row r="129" spans="1:32" ht="15" customHeight="1" x14ac:dyDescent="0.35">
      <c r="A129" s="264"/>
      <c r="B129" s="272"/>
      <c r="C129" s="272"/>
      <c r="D129" s="25" t="s">
        <v>33</v>
      </c>
      <c r="E129" s="50" t="s">
        <v>34</v>
      </c>
      <c r="F129" s="55" t="s">
        <v>28</v>
      </c>
      <c r="G129" s="27" t="s">
        <v>29</v>
      </c>
      <c r="H129" s="27">
        <v>1</v>
      </c>
      <c r="I129" s="45">
        <v>4000</v>
      </c>
      <c r="J129" s="45">
        <v>0</v>
      </c>
      <c r="K129" s="45">
        <v>4000</v>
      </c>
      <c r="L129" s="45"/>
      <c r="M129" s="45"/>
      <c r="N129" s="45"/>
      <c r="O129" s="45"/>
      <c r="P129" s="45"/>
      <c r="Q129" s="45">
        <v>0</v>
      </c>
      <c r="R129" s="45">
        <v>0</v>
      </c>
      <c r="S129" s="58">
        <v>0</v>
      </c>
      <c r="T129" s="58"/>
      <c r="U129" s="58">
        <v>0</v>
      </c>
      <c r="V129" s="59"/>
      <c r="W129" s="31">
        <f t="shared" si="11"/>
        <v>0</v>
      </c>
      <c r="X129" s="60" t="e">
        <f>#REF!-W129</f>
        <v>#REF!</v>
      </c>
      <c r="Y129" s="60"/>
      <c r="Z129" s="33">
        <f t="shared" si="12"/>
        <v>0</v>
      </c>
      <c r="AA129" s="33">
        <f t="shared" si="13"/>
        <v>0</v>
      </c>
      <c r="AB129" s="262"/>
      <c r="AC129" s="262"/>
      <c r="AD129" s="261"/>
      <c r="AE129" s="261"/>
      <c r="AF129" s="34" t="s">
        <v>183</v>
      </c>
    </row>
    <row r="130" spans="1:32" ht="15" customHeight="1" x14ac:dyDescent="0.35">
      <c r="A130" s="264"/>
      <c r="B130" s="272"/>
      <c r="C130" s="39"/>
      <c r="D130" s="39"/>
      <c r="E130" s="53"/>
      <c r="F130" s="57"/>
      <c r="G130" s="41"/>
      <c r="H130" s="41"/>
      <c r="I130" s="54"/>
      <c r="J130" s="54">
        <f>SUM(J125:J129)</f>
        <v>255000</v>
      </c>
      <c r="K130" s="54">
        <f t="shared" ref="K130:AC130" si="21">SUM(K125:K129)</f>
        <v>52000</v>
      </c>
      <c r="L130" s="54">
        <f t="shared" si="21"/>
        <v>29245.11</v>
      </c>
      <c r="M130" s="54">
        <f t="shared" si="21"/>
        <v>0</v>
      </c>
      <c r="N130" s="54">
        <f t="shared" si="21"/>
        <v>29118.877122025453</v>
      </c>
      <c r="O130" s="54">
        <f t="shared" si="21"/>
        <v>1645.127617538182</v>
      </c>
      <c r="P130" s="54">
        <f t="shared" si="21"/>
        <v>176807.24</v>
      </c>
      <c r="Q130" s="54">
        <f t="shared" si="21"/>
        <v>18682.09019171667</v>
      </c>
      <c r="R130" s="54">
        <f t="shared" si="21"/>
        <v>19828.772877974563</v>
      </c>
      <c r="S130" s="54">
        <f t="shared" si="21"/>
        <v>19828.77</v>
      </c>
      <c r="T130" s="54">
        <f t="shared" si="21"/>
        <v>37607.927160461666</v>
      </c>
      <c r="U130" s="54">
        <f t="shared" si="21"/>
        <v>0</v>
      </c>
      <c r="V130" s="54">
        <f t="shared" si="21"/>
        <v>0</v>
      </c>
      <c r="W130" s="54">
        <f t="shared" si="21"/>
        <v>254999.99712202544</v>
      </c>
      <c r="X130" s="54" t="e">
        <f t="shared" si="21"/>
        <v>#REF!</v>
      </c>
      <c r="Y130" s="54">
        <f t="shared" si="21"/>
        <v>0</v>
      </c>
      <c r="Z130" s="54">
        <f t="shared" si="21"/>
        <v>57935.144969716523</v>
      </c>
      <c r="AA130" s="54">
        <f t="shared" si="21"/>
        <v>2.8779745589417871E-3</v>
      </c>
      <c r="AB130" s="54">
        <f t="shared" si="21"/>
        <v>254999.99712202544</v>
      </c>
      <c r="AC130" s="54">
        <f t="shared" si="21"/>
        <v>57935.144969716523</v>
      </c>
      <c r="AD130" s="261"/>
      <c r="AE130" s="261"/>
      <c r="AF130" s="49"/>
    </row>
    <row r="131" spans="1:32" ht="15" customHeight="1" x14ac:dyDescent="0.35">
      <c r="A131" s="264"/>
      <c r="B131" s="272"/>
      <c r="C131" s="272" t="s">
        <v>184</v>
      </c>
      <c r="D131" s="25" t="s">
        <v>17</v>
      </c>
      <c r="E131" s="50" t="s">
        <v>104</v>
      </c>
      <c r="F131" s="55" t="s">
        <v>28</v>
      </c>
      <c r="G131" s="27" t="s">
        <v>29</v>
      </c>
      <c r="H131" s="27">
        <v>36</v>
      </c>
      <c r="I131" s="45">
        <v>6083.3333400000001</v>
      </c>
      <c r="J131" s="45">
        <v>240000</v>
      </c>
      <c r="K131" s="45">
        <v>0</v>
      </c>
      <c r="L131" s="45">
        <v>27666.97</v>
      </c>
      <c r="M131" s="45"/>
      <c r="N131" s="45">
        <v>49708.779839680006</v>
      </c>
      <c r="O131" s="45"/>
      <c r="P131" s="45">
        <v>200621.12507925832</v>
      </c>
      <c r="Q131" s="45">
        <v>0</v>
      </c>
      <c r="R131" s="45">
        <v>-37996.874918938323</v>
      </c>
      <c r="S131" s="58">
        <v>0</v>
      </c>
      <c r="T131" s="58">
        <v>0</v>
      </c>
      <c r="U131" s="58">
        <v>0</v>
      </c>
      <c r="V131" s="59"/>
      <c r="W131" s="31">
        <f t="shared" si="11"/>
        <v>277996.87491893832</v>
      </c>
      <c r="X131" s="60" t="e">
        <f>#REF!-W131</f>
        <v>#REF!</v>
      </c>
      <c r="Y131" s="60"/>
      <c r="Z131" s="33">
        <f t="shared" si="12"/>
        <v>0</v>
      </c>
      <c r="AA131" s="33">
        <f t="shared" si="13"/>
        <v>-37996.874918938323</v>
      </c>
      <c r="AB131" s="260">
        <f>SUM(W131:W136)</f>
        <v>308499.99682148377</v>
      </c>
      <c r="AC131" s="260">
        <f>SUM(Z131:Z136)</f>
        <v>59213.705206454848</v>
      </c>
      <c r="AD131" s="261"/>
      <c r="AE131" s="261"/>
      <c r="AF131" s="34" t="s">
        <v>185</v>
      </c>
    </row>
    <row r="132" spans="1:32" ht="15" customHeight="1" x14ac:dyDescent="0.35">
      <c r="A132" s="264"/>
      <c r="B132" s="272"/>
      <c r="C132" s="272"/>
      <c r="D132" s="25" t="s">
        <v>31</v>
      </c>
      <c r="E132" s="50" t="s">
        <v>104</v>
      </c>
      <c r="F132" s="55" t="s">
        <v>28</v>
      </c>
      <c r="G132" s="27" t="s">
        <v>29</v>
      </c>
      <c r="H132" s="27">
        <v>36</v>
      </c>
      <c r="I132" s="45">
        <v>1333.33</v>
      </c>
      <c r="J132" s="45">
        <v>0</v>
      </c>
      <c r="K132" s="45">
        <v>48000</v>
      </c>
      <c r="L132" s="45"/>
      <c r="M132" s="45"/>
      <c r="N132" s="45"/>
      <c r="O132" s="45">
        <v>4814.4181333381821</v>
      </c>
      <c r="P132" s="45">
        <v>0</v>
      </c>
      <c r="Q132" s="45">
        <v>19828.507073116667</v>
      </c>
      <c r="R132" s="45">
        <v>0</v>
      </c>
      <c r="S132" s="58"/>
      <c r="T132" s="58">
        <v>26570.78</v>
      </c>
      <c r="U132" s="58">
        <v>0</v>
      </c>
      <c r="V132" s="59"/>
      <c r="W132" s="31">
        <f t="shared" si="11"/>
        <v>0</v>
      </c>
      <c r="X132" s="60" t="e">
        <f>#REF!-W132</f>
        <v>#REF!</v>
      </c>
      <c r="Y132" s="60"/>
      <c r="Z132" s="33">
        <f t="shared" si="12"/>
        <v>51213.705206454848</v>
      </c>
      <c r="AA132" s="33">
        <f t="shared" si="13"/>
        <v>0</v>
      </c>
      <c r="AB132" s="261"/>
      <c r="AC132" s="261"/>
      <c r="AD132" s="261"/>
      <c r="AE132" s="261"/>
      <c r="AF132" s="34" t="s">
        <v>186</v>
      </c>
    </row>
    <row r="133" spans="1:32" ht="15" customHeight="1" x14ac:dyDescent="0.35">
      <c r="A133" s="264"/>
      <c r="B133" s="272"/>
      <c r="C133" s="272"/>
      <c r="D133" s="25" t="s">
        <v>33</v>
      </c>
      <c r="E133" s="50" t="s">
        <v>34</v>
      </c>
      <c r="F133" s="55" t="s">
        <v>28</v>
      </c>
      <c r="G133" s="27" t="s">
        <v>29</v>
      </c>
      <c r="H133" s="27">
        <v>1</v>
      </c>
      <c r="I133" s="45">
        <v>4000</v>
      </c>
      <c r="J133" s="45">
        <v>0</v>
      </c>
      <c r="K133" s="45">
        <v>4000</v>
      </c>
      <c r="L133" s="45"/>
      <c r="M133" s="45"/>
      <c r="N133" s="45"/>
      <c r="O133" s="45"/>
      <c r="P133" s="45">
        <v>0</v>
      </c>
      <c r="Q133" s="45">
        <v>0</v>
      </c>
      <c r="R133" s="45">
        <v>0</v>
      </c>
      <c r="S133" s="58"/>
      <c r="T133" s="58">
        <v>4000</v>
      </c>
      <c r="U133" s="58">
        <v>0</v>
      </c>
      <c r="V133" s="59"/>
      <c r="W133" s="31">
        <f t="shared" si="11"/>
        <v>0</v>
      </c>
      <c r="X133" s="60" t="e">
        <f>#REF!-W133</f>
        <v>#REF!</v>
      </c>
      <c r="Y133" s="60"/>
      <c r="Z133" s="33">
        <f t="shared" si="12"/>
        <v>4000</v>
      </c>
      <c r="AA133" s="33">
        <f t="shared" si="13"/>
        <v>0</v>
      </c>
      <c r="AB133" s="261"/>
      <c r="AC133" s="261"/>
      <c r="AD133" s="261"/>
      <c r="AE133" s="261"/>
      <c r="AF133" s="34" t="s">
        <v>187</v>
      </c>
    </row>
    <row r="134" spans="1:32" ht="15" customHeight="1" x14ac:dyDescent="0.35">
      <c r="A134" s="264"/>
      <c r="B134" s="272"/>
      <c r="C134" s="272"/>
      <c r="D134" s="25" t="s">
        <v>17</v>
      </c>
      <c r="E134" s="50" t="s">
        <v>104</v>
      </c>
      <c r="F134" s="55" t="s">
        <v>36</v>
      </c>
      <c r="G134" s="27" t="s">
        <v>55</v>
      </c>
      <c r="H134" s="27">
        <v>1</v>
      </c>
      <c r="I134" s="45">
        <v>3750</v>
      </c>
      <c r="J134" s="45">
        <v>37500</v>
      </c>
      <c r="K134" s="45">
        <v>0</v>
      </c>
      <c r="L134" s="45">
        <v>1881.07</v>
      </c>
      <c r="M134" s="45"/>
      <c r="N134" s="45">
        <v>1055.071902545455</v>
      </c>
      <c r="O134" s="45"/>
      <c r="P134" s="45">
        <v>0</v>
      </c>
      <c r="Q134" s="45">
        <v>0</v>
      </c>
      <c r="R134" s="45">
        <v>34563.858097454548</v>
      </c>
      <c r="S134" s="58">
        <v>26730.04</v>
      </c>
      <c r="T134" s="58">
        <v>0</v>
      </c>
      <c r="U134" s="58">
        <v>0</v>
      </c>
      <c r="V134" s="59"/>
      <c r="W134" s="31">
        <f t="shared" si="11"/>
        <v>29666.181902545457</v>
      </c>
      <c r="X134" s="60" t="e">
        <f>#REF!-W134</f>
        <v>#REF!</v>
      </c>
      <c r="Y134" s="60"/>
      <c r="Z134" s="33">
        <f t="shared" si="12"/>
        <v>0</v>
      </c>
      <c r="AA134" s="33">
        <f t="shared" si="13"/>
        <v>7833.818097454543</v>
      </c>
      <c r="AB134" s="261"/>
      <c r="AC134" s="261"/>
      <c r="AD134" s="261"/>
      <c r="AE134" s="261"/>
      <c r="AF134" s="34" t="s">
        <v>188</v>
      </c>
    </row>
    <row r="135" spans="1:32" ht="15" customHeight="1" x14ac:dyDescent="0.35">
      <c r="A135" s="264"/>
      <c r="B135" s="272"/>
      <c r="C135" s="272"/>
      <c r="D135" s="25" t="s">
        <v>17</v>
      </c>
      <c r="E135" s="50" t="s">
        <v>104</v>
      </c>
      <c r="F135" s="55" t="s">
        <v>39</v>
      </c>
      <c r="G135" s="27" t="s">
        <v>40</v>
      </c>
      <c r="H135" s="27">
        <v>4</v>
      </c>
      <c r="I135" s="45">
        <f>1250*3</f>
        <v>3750</v>
      </c>
      <c r="J135" s="45">
        <v>31000</v>
      </c>
      <c r="K135" s="45">
        <v>0</v>
      </c>
      <c r="L135" s="45"/>
      <c r="M135" s="45"/>
      <c r="N135" s="45">
        <v>677.87</v>
      </c>
      <c r="O135" s="45"/>
      <c r="P135" s="45">
        <v>159.07</v>
      </c>
      <c r="Q135" s="45">
        <v>0</v>
      </c>
      <c r="R135" s="45">
        <v>30163.06</v>
      </c>
      <c r="S135" s="58">
        <v>0</v>
      </c>
      <c r="T135" s="58"/>
      <c r="U135" s="58">
        <v>0</v>
      </c>
      <c r="V135" s="59"/>
      <c r="W135" s="31">
        <f t="shared" si="11"/>
        <v>836.94</v>
      </c>
      <c r="X135" s="60" t="e">
        <f>#REF!-W135</f>
        <v>#REF!</v>
      </c>
      <c r="Y135" s="60"/>
      <c r="Z135" s="33">
        <f t="shared" si="12"/>
        <v>0</v>
      </c>
      <c r="AA135" s="33">
        <f t="shared" si="13"/>
        <v>30163.06</v>
      </c>
      <c r="AB135" s="261"/>
      <c r="AC135" s="261"/>
      <c r="AD135" s="261"/>
      <c r="AE135" s="261"/>
      <c r="AF135" s="34" t="s">
        <v>189</v>
      </c>
    </row>
    <row r="136" spans="1:32" ht="15" customHeight="1" x14ac:dyDescent="0.35">
      <c r="A136" s="264"/>
      <c r="B136" s="272"/>
      <c r="C136" s="272"/>
      <c r="D136" s="25" t="s">
        <v>33</v>
      </c>
      <c r="E136" s="50" t="s">
        <v>34</v>
      </c>
      <c r="F136" s="55" t="s">
        <v>39</v>
      </c>
      <c r="G136" s="27" t="s">
        <v>40</v>
      </c>
      <c r="H136" s="27">
        <v>4</v>
      </c>
      <c r="I136" s="45">
        <v>1000</v>
      </c>
      <c r="J136" s="45">
        <v>0</v>
      </c>
      <c r="K136" s="45">
        <v>4000</v>
      </c>
      <c r="L136" s="45"/>
      <c r="M136" s="45"/>
      <c r="N136" s="45"/>
      <c r="O136" s="45"/>
      <c r="P136" s="45">
        <v>0</v>
      </c>
      <c r="Q136" s="45">
        <v>0</v>
      </c>
      <c r="R136" s="45">
        <v>0</v>
      </c>
      <c r="S136" s="58"/>
      <c r="T136" s="58">
        <v>4000</v>
      </c>
      <c r="U136" s="58">
        <v>0</v>
      </c>
      <c r="V136" s="59"/>
      <c r="W136" s="31">
        <f t="shared" si="11"/>
        <v>0</v>
      </c>
      <c r="X136" s="60" t="e">
        <f>#REF!-W136</f>
        <v>#REF!</v>
      </c>
      <c r="Y136" s="60"/>
      <c r="Z136" s="33">
        <f t="shared" si="12"/>
        <v>4000</v>
      </c>
      <c r="AA136" s="33">
        <f t="shared" si="13"/>
        <v>0</v>
      </c>
      <c r="AB136" s="262"/>
      <c r="AC136" s="262"/>
      <c r="AD136" s="261"/>
      <c r="AE136" s="261"/>
      <c r="AF136" s="34" t="s">
        <v>190</v>
      </c>
    </row>
    <row r="137" spans="1:32" ht="15" customHeight="1" x14ac:dyDescent="0.35">
      <c r="A137" s="264"/>
      <c r="B137" s="272"/>
      <c r="C137" s="39"/>
      <c r="D137" s="39"/>
      <c r="E137" s="53"/>
      <c r="F137" s="57"/>
      <c r="G137" s="41"/>
      <c r="H137" s="41"/>
      <c r="I137" s="54"/>
      <c r="J137" s="54">
        <f>SUM(J131:J136)</f>
        <v>308500</v>
      </c>
      <c r="K137" s="54">
        <f t="shared" ref="K137:AC137" si="22">SUM(K131:K136)</f>
        <v>56000</v>
      </c>
      <c r="L137" s="54">
        <f t="shared" si="22"/>
        <v>29548.04</v>
      </c>
      <c r="M137" s="54">
        <f t="shared" si="22"/>
        <v>0</v>
      </c>
      <c r="N137" s="54">
        <f t="shared" si="22"/>
        <v>51441.721742225462</v>
      </c>
      <c r="O137" s="54">
        <f t="shared" si="22"/>
        <v>4814.4181333381821</v>
      </c>
      <c r="P137" s="54">
        <f t="shared" si="22"/>
        <v>200780.19507925832</v>
      </c>
      <c r="Q137" s="54">
        <f t="shared" si="22"/>
        <v>19828.507073116667</v>
      </c>
      <c r="R137" s="54">
        <f t="shared" si="22"/>
        <v>26730.043178516225</v>
      </c>
      <c r="S137" s="54">
        <f t="shared" si="22"/>
        <v>26730.04</v>
      </c>
      <c r="T137" s="54">
        <f t="shared" si="22"/>
        <v>34570.78</v>
      </c>
      <c r="U137" s="54">
        <f t="shared" si="22"/>
        <v>0</v>
      </c>
      <c r="V137" s="54">
        <f t="shared" si="22"/>
        <v>0</v>
      </c>
      <c r="W137" s="54">
        <f t="shared" si="22"/>
        <v>308499.99682148377</v>
      </c>
      <c r="X137" s="54" t="e">
        <f t="shared" si="22"/>
        <v>#REF!</v>
      </c>
      <c r="Y137" s="54">
        <f t="shared" si="22"/>
        <v>0</v>
      </c>
      <c r="Z137" s="54">
        <f t="shared" si="22"/>
        <v>59213.705206454848</v>
      </c>
      <c r="AA137" s="54">
        <f t="shared" si="22"/>
        <v>3.178516220941674E-3</v>
      </c>
      <c r="AB137" s="54">
        <f t="shared" si="22"/>
        <v>308499.99682148377</v>
      </c>
      <c r="AC137" s="54">
        <f t="shared" si="22"/>
        <v>59213.705206454848</v>
      </c>
      <c r="AD137" s="261"/>
      <c r="AE137" s="261"/>
      <c r="AF137" s="49"/>
    </row>
    <row r="138" spans="1:32" ht="15" customHeight="1" x14ac:dyDescent="0.35">
      <c r="A138" s="264"/>
      <c r="B138" s="272"/>
      <c r="C138" s="272" t="s">
        <v>191</v>
      </c>
      <c r="D138" s="25" t="s">
        <v>17</v>
      </c>
      <c r="E138" s="50" t="s">
        <v>104</v>
      </c>
      <c r="F138" s="55" t="s">
        <v>28</v>
      </c>
      <c r="G138" s="27" t="s">
        <v>29</v>
      </c>
      <c r="H138" s="27">
        <v>6</v>
      </c>
      <c r="I138" s="45">
        <v>9583.3333399999992</v>
      </c>
      <c r="J138" s="45">
        <v>288000.00004000001</v>
      </c>
      <c r="K138" s="45">
        <v>0</v>
      </c>
      <c r="L138" s="45">
        <v>40066.660000000003</v>
      </c>
      <c r="M138" s="45"/>
      <c r="N138" s="45">
        <v>7737.8909144000054</v>
      </c>
      <c r="O138" s="45"/>
      <c r="P138" s="45">
        <v>40069.251963524999</v>
      </c>
      <c r="Q138" s="45">
        <v>0</v>
      </c>
      <c r="R138" s="45">
        <v>200126.19004000002</v>
      </c>
      <c r="S138" s="58">
        <v>100063.19</v>
      </c>
      <c r="T138" s="58"/>
      <c r="U138" s="58">
        <v>100063</v>
      </c>
      <c r="V138" s="59"/>
      <c r="W138" s="31">
        <f t="shared" ref="W138:W202" si="23">L138+N138+P138+S138+U138</f>
        <v>287999.99287792505</v>
      </c>
      <c r="X138" s="60" t="e">
        <f>#REF!-W138</f>
        <v>#REF!</v>
      </c>
      <c r="Y138" s="60"/>
      <c r="Z138" s="33">
        <f t="shared" ref="Z138:Z202" si="24">M138+O138+Q138+T138+V138</f>
        <v>0</v>
      </c>
      <c r="AA138" s="33">
        <f t="shared" ref="AA138:AA202" si="25">J138-W138</f>
        <v>7.162074965890497E-3</v>
      </c>
      <c r="AB138" s="260">
        <f>SUM(W138:W141)</f>
        <v>302999.99287792505</v>
      </c>
      <c r="AC138" s="260">
        <f>SUM(Z138:Z141)</f>
        <v>61902.958530250005</v>
      </c>
      <c r="AD138" s="261"/>
      <c r="AE138" s="261"/>
      <c r="AF138" s="34" t="s">
        <v>192</v>
      </c>
    </row>
    <row r="139" spans="1:32" ht="15" customHeight="1" x14ac:dyDescent="0.35">
      <c r="A139" s="264"/>
      <c r="B139" s="272"/>
      <c r="C139" s="272"/>
      <c r="D139" s="25" t="s">
        <v>31</v>
      </c>
      <c r="E139" s="50" t="s">
        <v>104</v>
      </c>
      <c r="F139" s="55" t="s">
        <v>28</v>
      </c>
      <c r="G139" s="27" t="s">
        <v>29</v>
      </c>
      <c r="H139" s="27">
        <v>36</v>
      </c>
      <c r="I139" s="45">
        <f>57600/H139</f>
        <v>1600</v>
      </c>
      <c r="J139" s="45">
        <v>0</v>
      </c>
      <c r="K139" s="45">
        <v>57600</v>
      </c>
      <c r="L139" s="45"/>
      <c r="M139" s="45"/>
      <c r="N139" s="45"/>
      <c r="O139" s="45">
        <v>739.54415640000013</v>
      </c>
      <c r="P139" s="45">
        <v>0</v>
      </c>
      <c r="Q139" s="45">
        <v>4122.9602738499998</v>
      </c>
      <c r="R139" s="45">
        <v>0</v>
      </c>
      <c r="S139" s="58"/>
      <c r="T139" s="58">
        <v>53040.454100000003</v>
      </c>
      <c r="U139" s="58">
        <v>0</v>
      </c>
      <c r="V139" s="59"/>
      <c r="W139" s="31">
        <f t="shared" si="23"/>
        <v>0</v>
      </c>
      <c r="X139" s="60" t="e">
        <f>#REF!-W139</f>
        <v>#REF!</v>
      </c>
      <c r="Y139" s="60"/>
      <c r="Z139" s="33">
        <f t="shared" si="24"/>
        <v>57902.958530250005</v>
      </c>
      <c r="AA139" s="33">
        <f t="shared" si="25"/>
        <v>0</v>
      </c>
      <c r="AB139" s="261"/>
      <c r="AC139" s="261"/>
      <c r="AD139" s="261"/>
      <c r="AE139" s="261"/>
      <c r="AF139" s="34" t="s">
        <v>193</v>
      </c>
    </row>
    <row r="140" spans="1:32" ht="15" customHeight="1" x14ac:dyDescent="0.35">
      <c r="A140" s="264"/>
      <c r="B140" s="272"/>
      <c r="C140" s="272"/>
      <c r="D140" s="25" t="s">
        <v>33</v>
      </c>
      <c r="E140" s="50" t="s">
        <v>34</v>
      </c>
      <c r="F140" s="55" t="s">
        <v>28</v>
      </c>
      <c r="G140" s="27" t="s">
        <v>29</v>
      </c>
      <c r="H140" s="27">
        <v>1</v>
      </c>
      <c r="I140" s="45">
        <v>4000</v>
      </c>
      <c r="J140" s="45">
        <v>0</v>
      </c>
      <c r="K140" s="45">
        <v>4000</v>
      </c>
      <c r="L140" s="45"/>
      <c r="M140" s="45"/>
      <c r="N140" s="45"/>
      <c r="O140" s="45"/>
      <c r="P140" s="45">
        <v>0</v>
      </c>
      <c r="Q140" s="45">
        <v>0</v>
      </c>
      <c r="R140" s="45">
        <v>0</v>
      </c>
      <c r="S140" s="58"/>
      <c r="T140" s="58">
        <v>4000</v>
      </c>
      <c r="U140" s="58">
        <v>0</v>
      </c>
      <c r="V140" s="59"/>
      <c r="W140" s="31">
        <f t="shared" si="23"/>
        <v>0</v>
      </c>
      <c r="X140" s="60" t="e">
        <f>#REF!-W140</f>
        <v>#REF!</v>
      </c>
      <c r="Y140" s="60"/>
      <c r="Z140" s="33">
        <f t="shared" si="24"/>
        <v>4000</v>
      </c>
      <c r="AA140" s="33">
        <f t="shared" si="25"/>
        <v>0</v>
      </c>
      <c r="AB140" s="261"/>
      <c r="AC140" s="261"/>
      <c r="AD140" s="261"/>
      <c r="AE140" s="261"/>
      <c r="AF140" s="34" t="s">
        <v>194</v>
      </c>
    </row>
    <row r="141" spans="1:32" ht="15" customHeight="1" x14ac:dyDescent="0.35">
      <c r="A141" s="264"/>
      <c r="B141" s="272"/>
      <c r="C141" s="272"/>
      <c r="D141" s="25" t="s">
        <v>17</v>
      </c>
      <c r="E141" s="50" t="s">
        <v>104</v>
      </c>
      <c r="F141" s="55" t="s">
        <v>36</v>
      </c>
      <c r="G141" s="27" t="s">
        <v>55</v>
      </c>
      <c r="H141" s="27">
        <v>4</v>
      </c>
      <c r="I141" s="45">
        <v>3750</v>
      </c>
      <c r="J141" s="45">
        <v>15000</v>
      </c>
      <c r="K141" s="45">
        <v>0</v>
      </c>
      <c r="L141" s="45">
        <v>1877.31</v>
      </c>
      <c r="M141" s="45"/>
      <c r="N141" s="45">
        <v>1055.071902545455</v>
      </c>
      <c r="O141" s="45"/>
      <c r="P141" s="45">
        <v>0</v>
      </c>
      <c r="Q141" s="45">
        <v>0</v>
      </c>
      <c r="R141" s="45">
        <v>12067.618097454546</v>
      </c>
      <c r="S141" s="58">
        <v>12067.618097454546</v>
      </c>
      <c r="T141" s="58">
        <v>0</v>
      </c>
      <c r="U141" s="58">
        <v>0</v>
      </c>
      <c r="V141" s="59"/>
      <c r="W141" s="31">
        <f t="shared" si="23"/>
        <v>15000</v>
      </c>
      <c r="X141" s="60" t="e">
        <f>#REF!-W141</f>
        <v>#REF!</v>
      </c>
      <c r="Y141" s="60"/>
      <c r="Z141" s="33">
        <f t="shared" si="24"/>
        <v>0</v>
      </c>
      <c r="AA141" s="33">
        <f t="shared" si="25"/>
        <v>0</v>
      </c>
      <c r="AB141" s="262"/>
      <c r="AC141" s="262"/>
      <c r="AD141" s="261"/>
      <c r="AE141" s="261"/>
      <c r="AF141" s="34" t="s">
        <v>195</v>
      </c>
    </row>
    <row r="142" spans="1:32" ht="15" customHeight="1" x14ac:dyDescent="0.35">
      <c r="A142" s="264"/>
      <c r="B142" s="272"/>
      <c r="C142" s="39"/>
      <c r="D142" s="39"/>
      <c r="E142" s="53"/>
      <c r="F142" s="57"/>
      <c r="G142" s="41"/>
      <c r="H142" s="41"/>
      <c r="I142" s="54"/>
      <c r="J142" s="54">
        <f>SUM(J138:J141)</f>
        <v>303000.00004000001</v>
      </c>
      <c r="K142" s="54">
        <f t="shared" ref="K142:AC142" si="26">SUM(K138:K141)</f>
        <v>61600</v>
      </c>
      <c r="L142" s="54">
        <f t="shared" si="26"/>
        <v>41943.97</v>
      </c>
      <c r="M142" s="54">
        <f t="shared" si="26"/>
        <v>0</v>
      </c>
      <c r="N142" s="54">
        <f t="shared" si="26"/>
        <v>8792.9628169454609</v>
      </c>
      <c r="O142" s="54">
        <f t="shared" si="26"/>
        <v>739.54415640000013</v>
      </c>
      <c r="P142" s="54">
        <f t="shared" si="26"/>
        <v>40069.251963524999</v>
      </c>
      <c r="Q142" s="54">
        <f t="shared" si="26"/>
        <v>4122.9602738499998</v>
      </c>
      <c r="R142" s="54">
        <f t="shared" si="26"/>
        <v>212193.80813745456</v>
      </c>
      <c r="S142" s="54">
        <f t="shared" si="26"/>
        <v>112130.80809745454</v>
      </c>
      <c r="T142" s="54">
        <f t="shared" si="26"/>
        <v>57040.454100000003</v>
      </c>
      <c r="U142" s="54">
        <f t="shared" si="26"/>
        <v>100063</v>
      </c>
      <c r="V142" s="54">
        <f t="shared" si="26"/>
        <v>0</v>
      </c>
      <c r="W142" s="54">
        <f t="shared" si="26"/>
        <v>302999.99287792505</v>
      </c>
      <c r="X142" s="54" t="e">
        <f t="shared" si="26"/>
        <v>#REF!</v>
      </c>
      <c r="Y142" s="54">
        <f t="shared" si="26"/>
        <v>0</v>
      </c>
      <c r="Z142" s="54">
        <f t="shared" si="26"/>
        <v>61902.958530250005</v>
      </c>
      <c r="AA142" s="54">
        <f t="shared" si="26"/>
        <v>7.162074965890497E-3</v>
      </c>
      <c r="AB142" s="54">
        <f t="shared" si="26"/>
        <v>302999.99287792505</v>
      </c>
      <c r="AC142" s="54">
        <f t="shared" si="26"/>
        <v>61902.958530250005</v>
      </c>
      <c r="AD142" s="261"/>
      <c r="AE142" s="261"/>
      <c r="AF142" s="49"/>
    </row>
    <row r="143" spans="1:32" ht="15" customHeight="1" x14ac:dyDescent="0.35">
      <c r="A143" s="264"/>
      <c r="B143" s="272"/>
      <c r="C143" s="272" t="s">
        <v>196</v>
      </c>
      <c r="D143" s="25" t="s">
        <v>17</v>
      </c>
      <c r="E143" s="50" t="s">
        <v>104</v>
      </c>
      <c r="F143" s="55" t="s">
        <v>28</v>
      </c>
      <c r="G143" s="27" t="s">
        <v>29</v>
      </c>
      <c r="H143" s="27">
        <v>36.57</v>
      </c>
      <c r="I143" s="45">
        <v>5250</v>
      </c>
      <c r="J143" s="45">
        <v>192000</v>
      </c>
      <c r="K143" s="45">
        <v>0</v>
      </c>
      <c r="L143" s="45">
        <v>27892.22</v>
      </c>
      <c r="M143" s="45"/>
      <c r="N143" s="45">
        <v>5190.7603279999967</v>
      </c>
      <c r="O143" s="45"/>
      <c r="P143" s="45">
        <v>34768.731702124998</v>
      </c>
      <c r="Q143" s="45">
        <v>0</v>
      </c>
      <c r="R143" s="45">
        <v>124148.287969875</v>
      </c>
      <c r="S143" s="58">
        <v>62074</v>
      </c>
      <c r="T143" s="58">
        <v>0</v>
      </c>
      <c r="U143" s="58">
        <v>62074.29</v>
      </c>
      <c r="V143" s="59"/>
      <c r="W143" s="31">
        <f t="shared" si="23"/>
        <v>192000.002030125</v>
      </c>
      <c r="X143" s="60" t="e">
        <f>#REF!-W143</f>
        <v>#REF!</v>
      </c>
      <c r="Y143" s="60"/>
      <c r="Z143" s="33">
        <f t="shared" si="24"/>
        <v>0</v>
      </c>
      <c r="AA143" s="33">
        <f t="shared" si="25"/>
        <v>-2.0301250042393804E-3</v>
      </c>
      <c r="AB143" s="260">
        <f>SUM(W143:W147)</f>
        <v>251249.99393267045</v>
      </c>
      <c r="AC143" s="260">
        <f>SUM(Z143:Z147)</f>
        <v>49933.501872068184</v>
      </c>
      <c r="AD143" s="261"/>
      <c r="AE143" s="261"/>
      <c r="AF143" s="34" t="s">
        <v>197</v>
      </c>
    </row>
    <row r="144" spans="1:32" ht="15" customHeight="1" x14ac:dyDescent="0.35">
      <c r="A144" s="264"/>
      <c r="B144" s="272"/>
      <c r="C144" s="272"/>
      <c r="D144" s="25" t="s">
        <v>31</v>
      </c>
      <c r="E144" s="50" t="s">
        <v>104</v>
      </c>
      <c r="F144" s="55" t="s">
        <v>28</v>
      </c>
      <c r="G144" s="27" t="s">
        <v>29</v>
      </c>
      <c r="H144" s="27">
        <v>36</v>
      </c>
      <c r="I144" s="45">
        <f>45000/12</f>
        <v>3750</v>
      </c>
      <c r="J144" s="45">
        <v>0</v>
      </c>
      <c r="K144" s="45">
        <v>45000</v>
      </c>
      <c r="L144" s="45"/>
      <c r="M144" s="45"/>
      <c r="N144" s="45"/>
      <c r="O144" s="45">
        <v>493.1641818181817</v>
      </c>
      <c r="P144" s="45">
        <v>0</v>
      </c>
      <c r="Q144" s="45">
        <v>3575.7376902500005</v>
      </c>
      <c r="R144" s="45">
        <v>0</v>
      </c>
      <c r="S144" s="58"/>
      <c r="T144" s="58">
        <v>41864.6</v>
      </c>
      <c r="U144" s="58">
        <v>0</v>
      </c>
      <c r="V144" s="59"/>
      <c r="W144" s="31">
        <f t="shared" si="23"/>
        <v>0</v>
      </c>
      <c r="X144" s="60" t="e">
        <f>#REF!-W144</f>
        <v>#REF!</v>
      </c>
      <c r="Y144" s="60"/>
      <c r="Z144" s="33">
        <f t="shared" si="24"/>
        <v>45933.501872068184</v>
      </c>
      <c r="AA144" s="33">
        <f t="shared" si="25"/>
        <v>0</v>
      </c>
      <c r="AB144" s="261"/>
      <c r="AC144" s="261"/>
      <c r="AD144" s="261"/>
      <c r="AE144" s="261"/>
      <c r="AF144" s="34" t="s">
        <v>198</v>
      </c>
    </row>
    <row r="145" spans="1:32" ht="15" customHeight="1" x14ac:dyDescent="0.35">
      <c r="A145" s="264"/>
      <c r="B145" s="272"/>
      <c r="C145" s="272"/>
      <c r="D145" s="25" t="s">
        <v>33</v>
      </c>
      <c r="E145" s="50" t="s">
        <v>34</v>
      </c>
      <c r="F145" s="55" t="s">
        <v>28</v>
      </c>
      <c r="G145" s="27" t="s">
        <v>29</v>
      </c>
      <c r="H145" s="27">
        <v>1</v>
      </c>
      <c r="I145" s="45">
        <v>4000</v>
      </c>
      <c r="J145" s="45">
        <v>0</v>
      </c>
      <c r="K145" s="45">
        <v>4000</v>
      </c>
      <c r="L145" s="45"/>
      <c r="M145" s="45"/>
      <c r="N145" s="45"/>
      <c r="O145" s="45"/>
      <c r="P145" s="45">
        <v>0</v>
      </c>
      <c r="Q145" s="45">
        <v>0</v>
      </c>
      <c r="R145" s="45">
        <v>0</v>
      </c>
      <c r="S145" s="58"/>
      <c r="T145" s="58">
        <v>4000</v>
      </c>
      <c r="U145" s="58">
        <v>0</v>
      </c>
      <c r="V145" s="59"/>
      <c r="W145" s="31">
        <f t="shared" si="23"/>
        <v>0</v>
      </c>
      <c r="X145" s="60" t="e">
        <f>#REF!-W145</f>
        <v>#REF!</v>
      </c>
      <c r="Y145" s="60"/>
      <c r="Z145" s="33">
        <f t="shared" si="24"/>
        <v>4000</v>
      </c>
      <c r="AA145" s="33">
        <f t="shared" si="25"/>
        <v>0</v>
      </c>
      <c r="AB145" s="261"/>
      <c r="AC145" s="261"/>
      <c r="AD145" s="261"/>
      <c r="AE145" s="261"/>
      <c r="AF145" s="34" t="s">
        <v>199</v>
      </c>
    </row>
    <row r="146" spans="1:32" ht="15" customHeight="1" x14ac:dyDescent="0.35">
      <c r="A146" s="264"/>
      <c r="B146" s="272"/>
      <c r="C146" s="272"/>
      <c r="D146" s="25" t="s">
        <v>17</v>
      </c>
      <c r="E146" s="50" t="s">
        <v>104</v>
      </c>
      <c r="F146" s="55" t="s">
        <v>36</v>
      </c>
      <c r="G146" s="27" t="s">
        <v>55</v>
      </c>
      <c r="H146" s="27">
        <v>3</v>
      </c>
      <c r="I146" s="45">
        <v>3750</v>
      </c>
      <c r="J146" s="45">
        <v>11250</v>
      </c>
      <c r="K146" s="45">
        <v>0</v>
      </c>
      <c r="L146" s="45">
        <v>1881.07</v>
      </c>
      <c r="M146" s="45"/>
      <c r="N146" s="45">
        <v>1055.071902545455</v>
      </c>
      <c r="O146" s="45"/>
      <c r="P146" s="45">
        <v>0</v>
      </c>
      <c r="Q146" s="45">
        <v>0</v>
      </c>
      <c r="R146" s="45">
        <v>8313.85</v>
      </c>
      <c r="S146" s="58">
        <v>8313.85</v>
      </c>
      <c r="T146" s="58"/>
      <c r="U146" s="58">
        <v>0</v>
      </c>
      <c r="V146" s="59"/>
      <c r="W146" s="31">
        <f t="shared" si="23"/>
        <v>11249.991902545455</v>
      </c>
      <c r="X146" s="60" t="e">
        <f>#REF!-W146</f>
        <v>#REF!</v>
      </c>
      <c r="Y146" s="60"/>
      <c r="Z146" s="33">
        <f t="shared" si="24"/>
        <v>0</v>
      </c>
      <c r="AA146" s="33">
        <f t="shared" si="25"/>
        <v>8.0974545453500468E-3</v>
      </c>
      <c r="AB146" s="261"/>
      <c r="AC146" s="261"/>
      <c r="AD146" s="261"/>
      <c r="AE146" s="261"/>
      <c r="AF146" s="34" t="s">
        <v>200</v>
      </c>
    </row>
    <row r="147" spans="1:32" ht="15" customHeight="1" x14ac:dyDescent="0.35">
      <c r="A147" s="264"/>
      <c r="B147" s="272"/>
      <c r="C147" s="272"/>
      <c r="D147" s="25" t="s">
        <v>17</v>
      </c>
      <c r="E147" s="50" t="s">
        <v>104</v>
      </c>
      <c r="F147" s="55" t="s">
        <v>39</v>
      </c>
      <c r="G147" s="27" t="s">
        <v>201</v>
      </c>
      <c r="H147" s="27">
        <v>5</v>
      </c>
      <c r="I147" s="45">
        <f>48000/5</f>
        <v>9600</v>
      </c>
      <c r="J147" s="45">
        <v>48000</v>
      </c>
      <c r="K147" s="45">
        <v>0</v>
      </c>
      <c r="L147" s="45"/>
      <c r="M147" s="45"/>
      <c r="N147" s="45"/>
      <c r="O147" s="45"/>
      <c r="P147" s="45">
        <v>0</v>
      </c>
      <c r="Q147" s="45">
        <v>0</v>
      </c>
      <c r="R147" s="45">
        <v>48000</v>
      </c>
      <c r="S147" s="58">
        <v>48000</v>
      </c>
      <c r="T147" s="58"/>
      <c r="U147" s="58">
        <v>0</v>
      </c>
      <c r="V147" s="59"/>
      <c r="W147" s="31">
        <f t="shared" si="23"/>
        <v>48000</v>
      </c>
      <c r="X147" s="60" t="e">
        <f>#REF!-W147</f>
        <v>#REF!</v>
      </c>
      <c r="Y147" s="60"/>
      <c r="Z147" s="33">
        <f t="shared" si="24"/>
        <v>0</v>
      </c>
      <c r="AA147" s="33">
        <f t="shared" si="25"/>
        <v>0</v>
      </c>
      <c r="AB147" s="262"/>
      <c r="AC147" s="262"/>
      <c r="AD147" s="261"/>
      <c r="AE147" s="261"/>
      <c r="AF147" s="34" t="s">
        <v>202</v>
      </c>
    </row>
    <row r="148" spans="1:32" ht="15" customHeight="1" x14ac:dyDescent="0.35">
      <c r="A148" s="264"/>
      <c r="B148" s="272"/>
      <c r="C148" s="39"/>
      <c r="D148" s="39"/>
      <c r="E148" s="53"/>
      <c r="F148" s="57"/>
      <c r="G148" s="41"/>
      <c r="H148" s="41"/>
      <c r="I148" s="54"/>
      <c r="J148" s="54">
        <f>SUM(J143:J147)</f>
        <v>251250</v>
      </c>
      <c r="K148" s="54">
        <f t="shared" ref="K148:AC148" si="27">SUM(K143:K147)</f>
        <v>49000</v>
      </c>
      <c r="L148" s="54">
        <f t="shared" si="27"/>
        <v>29773.29</v>
      </c>
      <c r="M148" s="54">
        <f t="shared" si="27"/>
        <v>0</v>
      </c>
      <c r="N148" s="54">
        <f t="shared" si="27"/>
        <v>6245.8322305454512</v>
      </c>
      <c r="O148" s="54">
        <f t="shared" si="27"/>
        <v>493.1641818181817</v>
      </c>
      <c r="P148" s="54">
        <f t="shared" si="27"/>
        <v>34768.731702124998</v>
      </c>
      <c r="Q148" s="54">
        <f t="shared" si="27"/>
        <v>3575.7376902500005</v>
      </c>
      <c r="R148" s="54">
        <f t="shared" si="27"/>
        <v>180462.13796987501</v>
      </c>
      <c r="S148" s="54">
        <f t="shared" si="27"/>
        <v>118387.85</v>
      </c>
      <c r="T148" s="54">
        <f t="shared" si="27"/>
        <v>45864.6</v>
      </c>
      <c r="U148" s="54">
        <f t="shared" si="27"/>
        <v>62074.29</v>
      </c>
      <c r="V148" s="54">
        <f t="shared" si="27"/>
        <v>0</v>
      </c>
      <c r="W148" s="54">
        <f t="shared" si="27"/>
        <v>251249.99393267045</v>
      </c>
      <c r="X148" s="54" t="e">
        <f t="shared" si="27"/>
        <v>#REF!</v>
      </c>
      <c r="Y148" s="54">
        <f t="shared" si="27"/>
        <v>0</v>
      </c>
      <c r="Z148" s="54">
        <f t="shared" si="27"/>
        <v>49933.501872068184</v>
      </c>
      <c r="AA148" s="54">
        <f t="shared" si="27"/>
        <v>6.0673295411106665E-3</v>
      </c>
      <c r="AB148" s="54">
        <f t="shared" si="27"/>
        <v>251249.99393267045</v>
      </c>
      <c r="AC148" s="54">
        <f t="shared" si="27"/>
        <v>49933.501872068184</v>
      </c>
      <c r="AD148" s="261"/>
      <c r="AE148" s="261"/>
      <c r="AF148" s="49"/>
    </row>
    <row r="149" spans="1:32" ht="15" customHeight="1" x14ac:dyDescent="0.35">
      <c r="A149" s="264"/>
      <c r="B149" s="272"/>
      <c r="C149" s="272" t="s">
        <v>203</v>
      </c>
      <c r="D149" s="25" t="s">
        <v>33</v>
      </c>
      <c r="E149" s="50" t="s">
        <v>34</v>
      </c>
      <c r="F149" s="55" t="s">
        <v>28</v>
      </c>
      <c r="G149" s="27" t="s">
        <v>29</v>
      </c>
      <c r="H149" s="27">
        <v>8</v>
      </c>
      <c r="I149" s="45">
        <f>16000/8</f>
        <v>2000</v>
      </c>
      <c r="J149" s="45">
        <v>0</v>
      </c>
      <c r="K149" s="45">
        <v>16000</v>
      </c>
      <c r="L149" s="45"/>
      <c r="M149" s="45"/>
      <c r="N149" s="45"/>
      <c r="O149" s="45"/>
      <c r="P149" s="45">
        <v>0</v>
      </c>
      <c r="Q149" s="45"/>
      <c r="R149" s="45">
        <v>0</v>
      </c>
      <c r="S149" s="58"/>
      <c r="T149" s="58">
        <v>8000</v>
      </c>
      <c r="U149" s="58">
        <v>0</v>
      </c>
      <c r="V149" s="59"/>
      <c r="W149" s="31">
        <f t="shared" si="23"/>
        <v>0</v>
      </c>
      <c r="X149" s="60" t="e">
        <f>#REF!-W149</f>
        <v>#REF!</v>
      </c>
      <c r="Y149" s="60"/>
      <c r="Z149" s="33">
        <f t="shared" si="24"/>
        <v>8000</v>
      </c>
      <c r="AA149" s="33">
        <f t="shared" si="25"/>
        <v>0</v>
      </c>
      <c r="AB149" s="260">
        <f>SUM(W149:W154)</f>
        <v>1055000</v>
      </c>
      <c r="AC149" s="260">
        <f>SUM(Z149:Z154)</f>
        <v>10000</v>
      </c>
      <c r="AD149" s="261"/>
      <c r="AE149" s="261"/>
      <c r="AF149" s="34" t="s">
        <v>204</v>
      </c>
    </row>
    <row r="150" spans="1:32" ht="15" customHeight="1" x14ac:dyDescent="0.35">
      <c r="A150" s="264"/>
      <c r="B150" s="272"/>
      <c r="C150" s="272"/>
      <c r="D150" s="25" t="s">
        <v>17</v>
      </c>
      <c r="E150" s="50" t="s">
        <v>34</v>
      </c>
      <c r="F150" s="55" t="s">
        <v>120</v>
      </c>
      <c r="G150" s="27" t="s">
        <v>58</v>
      </c>
      <c r="H150" s="27">
        <v>40</v>
      </c>
      <c r="I150" s="45">
        <v>250</v>
      </c>
      <c r="J150" s="45">
        <v>10000</v>
      </c>
      <c r="K150" s="45">
        <v>0</v>
      </c>
      <c r="L150" s="45"/>
      <c r="M150" s="45"/>
      <c r="N150" s="45"/>
      <c r="O150" s="45"/>
      <c r="P150" s="45">
        <v>0</v>
      </c>
      <c r="Q150" s="45"/>
      <c r="R150" s="45">
        <v>10000</v>
      </c>
      <c r="S150" s="58">
        <v>10000</v>
      </c>
      <c r="T150" s="58"/>
      <c r="U150" s="58">
        <v>0</v>
      </c>
      <c r="V150" s="59"/>
      <c r="W150" s="31">
        <f t="shared" si="23"/>
        <v>10000</v>
      </c>
      <c r="X150" s="60" t="e">
        <f>#REF!-W150</f>
        <v>#REF!</v>
      </c>
      <c r="Y150" s="60"/>
      <c r="Z150" s="33">
        <f t="shared" si="24"/>
        <v>0</v>
      </c>
      <c r="AA150" s="33">
        <f t="shared" si="25"/>
        <v>0</v>
      </c>
      <c r="AB150" s="261"/>
      <c r="AC150" s="261"/>
      <c r="AD150" s="261"/>
      <c r="AE150" s="261"/>
      <c r="AF150" s="34" t="s">
        <v>205</v>
      </c>
    </row>
    <row r="151" spans="1:32" ht="15" customHeight="1" x14ac:dyDescent="0.35">
      <c r="A151" s="264"/>
      <c r="B151" s="272"/>
      <c r="C151" s="272"/>
      <c r="D151" s="25" t="s">
        <v>17</v>
      </c>
      <c r="E151" s="50" t="s">
        <v>34</v>
      </c>
      <c r="F151" s="55" t="s">
        <v>118</v>
      </c>
      <c r="G151" s="27" t="s">
        <v>86</v>
      </c>
      <c r="H151" s="27">
        <v>1</v>
      </c>
      <c r="I151" s="45">
        <v>20000</v>
      </c>
      <c r="J151" s="45">
        <v>20000</v>
      </c>
      <c r="K151" s="45">
        <v>0</v>
      </c>
      <c r="L151" s="45"/>
      <c r="M151" s="45"/>
      <c r="N151" s="45"/>
      <c r="O151" s="45"/>
      <c r="P151" s="45">
        <v>0</v>
      </c>
      <c r="Q151" s="45"/>
      <c r="R151" s="45">
        <v>20000</v>
      </c>
      <c r="S151" s="58">
        <v>0</v>
      </c>
      <c r="T151" s="58"/>
      <c r="U151" s="58">
        <v>20000</v>
      </c>
      <c r="V151" s="59"/>
      <c r="W151" s="31">
        <f t="shared" si="23"/>
        <v>20000</v>
      </c>
      <c r="X151" s="60" t="e">
        <f>#REF!-W151</f>
        <v>#REF!</v>
      </c>
      <c r="Y151" s="60"/>
      <c r="Z151" s="33">
        <f>M151+O151+Q151+T151+V151</f>
        <v>0</v>
      </c>
      <c r="AA151" s="33">
        <f t="shared" si="25"/>
        <v>0</v>
      </c>
      <c r="AB151" s="261"/>
      <c r="AC151" s="261"/>
      <c r="AD151" s="261"/>
      <c r="AE151" s="261"/>
      <c r="AF151" s="34" t="s">
        <v>206</v>
      </c>
    </row>
    <row r="152" spans="1:32" ht="15" customHeight="1" x14ac:dyDescent="0.35">
      <c r="A152" s="264"/>
      <c r="B152" s="272"/>
      <c r="C152" s="272"/>
      <c r="D152" s="25" t="s">
        <v>17</v>
      </c>
      <c r="E152" s="50" t="s">
        <v>161</v>
      </c>
      <c r="F152" s="55" t="s">
        <v>53</v>
      </c>
      <c r="G152" s="27" t="s">
        <v>86</v>
      </c>
      <c r="H152" s="27">
        <v>1</v>
      </c>
      <c r="I152" s="45">
        <v>1025000</v>
      </c>
      <c r="J152" s="45">
        <v>1025000</v>
      </c>
      <c r="K152" s="45">
        <v>0</v>
      </c>
      <c r="L152" s="45"/>
      <c r="M152" s="45"/>
      <c r="N152" s="45"/>
      <c r="O152" s="45"/>
      <c r="P152" s="45">
        <v>27865.34</v>
      </c>
      <c r="Q152" s="45"/>
      <c r="R152" s="45">
        <v>997134.66</v>
      </c>
      <c r="S152" s="58">
        <v>0</v>
      </c>
      <c r="T152" s="58"/>
      <c r="U152" s="59">
        <v>727134.66</v>
      </c>
      <c r="V152" s="59">
        <v>0</v>
      </c>
      <c r="W152" s="31">
        <f t="shared" si="23"/>
        <v>755000</v>
      </c>
      <c r="X152" s="60" t="e">
        <f>#REF!-W152</f>
        <v>#REF!</v>
      </c>
      <c r="Y152" s="60"/>
      <c r="Z152" s="33">
        <f>M152+O152+Q152+T152+V152</f>
        <v>0</v>
      </c>
      <c r="AA152" s="33">
        <f t="shared" si="25"/>
        <v>270000</v>
      </c>
      <c r="AB152" s="261"/>
      <c r="AC152" s="261"/>
      <c r="AD152" s="261"/>
      <c r="AE152" s="261"/>
      <c r="AF152" s="34" t="s">
        <v>207</v>
      </c>
    </row>
    <row r="153" spans="1:32" ht="15" customHeight="1" x14ac:dyDescent="0.35">
      <c r="A153" s="264"/>
      <c r="B153" s="272"/>
      <c r="C153" s="272"/>
      <c r="D153" s="179" t="s">
        <v>17</v>
      </c>
      <c r="E153" s="180" t="s">
        <v>161</v>
      </c>
      <c r="F153" s="181" t="s">
        <v>118</v>
      </c>
      <c r="G153" s="182"/>
      <c r="H153" s="182"/>
      <c r="I153" s="186"/>
      <c r="J153" s="186"/>
      <c r="K153" s="186"/>
      <c r="L153" s="186"/>
      <c r="M153" s="186"/>
      <c r="N153" s="186"/>
      <c r="O153" s="186"/>
      <c r="P153" s="186"/>
      <c r="Q153" s="186"/>
      <c r="R153" s="186"/>
      <c r="S153" s="187"/>
      <c r="T153" s="187"/>
      <c r="U153" s="187">
        <v>270000</v>
      </c>
      <c r="V153" s="188"/>
      <c r="W153" s="31">
        <f t="shared" si="23"/>
        <v>270000</v>
      </c>
      <c r="X153" s="60"/>
      <c r="Y153" s="60"/>
      <c r="Z153" s="33"/>
      <c r="AA153" s="33">
        <f>J153-W153</f>
        <v>-270000</v>
      </c>
      <c r="AB153" s="261"/>
      <c r="AC153" s="261"/>
      <c r="AD153" s="261"/>
      <c r="AE153" s="261"/>
      <c r="AF153" s="178" t="s">
        <v>208</v>
      </c>
    </row>
    <row r="154" spans="1:32" ht="15" customHeight="1" x14ac:dyDescent="0.35">
      <c r="A154" s="264"/>
      <c r="B154" s="272"/>
      <c r="C154" s="272"/>
      <c r="D154" s="25" t="s">
        <v>17</v>
      </c>
      <c r="E154" s="50" t="s">
        <v>34</v>
      </c>
      <c r="F154" s="55" t="s">
        <v>39</v>
      </c>
      <c r="G154" s="27" t="s">
        <v>40</v>
      </c>
      <c r="H154" s="27">
        <v>2</v>
      </c>
      <c r="I154" s="45">
        <v>1000</v>
      </c>
      <c r="J154" s="45">
        <v>0</v>
      </c>
      <c r="K154" s="45">
        <v>2000</v>
      </c>
      <c r="L154" s="45"/>
      <c r="M154" s="45"/>
      <c r="N154" s="45"/>
      <c r="O154" s="45"/>
      <c r="P154" s="45">
        <v>0</v>
      </c>
      <c r="Q154" s="45"/>
      <c r="R154" s="45">
        <v>0</v>
      </c>
      <c r="S154" s="58"/>
      <c r="T154" s="58">
        <v>2000</v>
      </c>
      <c r="U154" s="58">
        <v>0</v>
      </c>
      <c r="V154" s="59"/>
      <c r="W154" s="31">
        <f t="shared" si="23"/>
        <v>0</v>
      </c>
      <c r="X154" s="60" t="e">
        <f>#REF!-W154</f>
        <v>#REF!</v>
      </c>
      <c r="Y154" s="60"/>
      <c r="Z154" s="33">
        <f t="shared" si="24"/>
        <v>2000</v>
      </c>
      <c r="AA154" s="33">
        <f t="shared" si="25"/>
        <v>0</v>
      </c>
      <c r="AB154" s="262"/>
      <c r="AC154" s="262"/>
      <c r="AD154" s="261"/>
      <c r="AE154" s="261"/>
      <c r="AF154" s="34" t="s">
        <v>209</v>
      </c>
    </row>
    <row r="155" spans="1:32" ht="15" customHeight="1" x14ac:dyDescent="0.35">
      <c r="A155" s="264"/>
      <c r="B155" s="272"/>
      <c r="C155" s="39"/>
      <c r="D155" s="39"/>
      <c r="E155" s="53"/>
      <c r="F155" s="57"/>
      <c r="G155" s="41"/>
      <c r="H155" s="41"/>
      <c r="I155" s="54"/>
      <c r="J155" s="54">
        <f>SUM(J149:J154)</f>
        <v>1055000</v>
      </c>
      <c r="K155" s="54">
        <f t="shared" ref="K155:AC155" si="28">SUM(K149:K154)</f>
        <v>18000</v>
      </c>
      <c r="L155" s="54">
        <f t="shared" si="28"/>
        <v>0</v>
      </c>
      <c r="M155" s="54">
        <f t="shared" si="28"/>
        <v>0</v>
      </c>
      <c r="N155" s="54">
        <f t="shared" si="28"/>
        <v>0</v>
      </c>
      <c r="O155" s="54">
        <f t="shared" si="28"/>
        <v>0</v>
      </c>
      <c r="P155" s="54">
        <f t="shared" si="28"/>
        <v>27865.34</v>
      </c>
      <c r="Q155" s="54">
        <f t="shared" si="28"/>
        <v>0</v>
      </c>
      <c r="R155" s="54">
        <f t="shared" si="28"/>
        <v>1027134.66</v>
      </c>
      <c r="S155" s="54">
        <f t="shared" si="28"/>
        <v>10000</v>
      </c>
      <c r="T155" s="54">
        <f t="shared" si="28"/>
        <v>10000</v>
      </c>
      <c r="U155" s="54">
        <f t="shared" si="28"/>
        <v>1017134.66</v>
      </c>
      <c r="V155" s="54">
        <f t="shared" si="28"/>
        <v>0</v>
      </c>
      <c r="W155" s="54">
        <f t="shared" si="28"/>
        <v>1055000</v>
      </c>
      <c r="X155" s="54" t="e">
        <f t="shared" si="28"/>
        <v>#REF!</v>
      </c>
      <c r="Y155" s="54">
        <f t="shared" si="28"/>
        <v>0</v>
      </c>
      <c r="Z155" s="54">
        <f t="shared" si="28"/>
        <v>10000</v>
      </c>
      <c r="AA155" s="54">
        <f t="shared" si="28"/>
        <v>0</v>
      </c>
      <c r="AB155" s="54">
        <f t="shared" si="28"/>
        <v>1055000</v>
      </c>
      <c r="AC155" s="54">
        <f t="shared" si="28"/>
        <v>10000</v>
      </c>
      <c r="AD155" s="261"/>
      <c r="AE155" s="261"/>
      <c r="AF155" s="49"/>
    </row>
    <row r="156" spans="1:32" ht="15" customHeight="1" x14ac:dyDescent="0.35">
      <c r="A156" s="264"/>
      <c r="B156" s="272"/>
      <c r="C156" s="272" t="s">
        <v>210</v>
      </c>
      <c r="D156" s="25" t="s">
        <v>17</v>
      </c>
      <c r="E156" s="50" t="s">
        <v>104</v>
      </c>
      <c r="F156" s="55" t="s">
        <v>28</v>
      </c>
      <c r="G156" s="27" t="s">
        <v>29</v>
      </c>
      <c r="H156" s="64" t="s">
        <v>211</v>
      </c>
      <c r="I156" s="45">
        <v>14550</v>
      </c>
      <c r="J156" s="45">
        <v>468000</v>
      </c>
      <c r="K156" s="45">
        <v>0</v>
      </c>
      <c r="L156" s="45">
        <v>72297.77</v>
      </c>
      <c r="M156" s="45"/>
      <c r="N156" s="45">
        <v>38799.394113480041</v>
      </c>
      <c r="O156" s="45"/>
      <c r="P156" s="45">
        <v>196136.70820399135</v>
      </c>
      <c r="Q156" s="45">
        <v>0</v>
      </c>
      <c r="R156" s="45">
        <v>160766.12768252857</v>
      </c>
      <c r="S156" s="58">
        <v>80385</v>
      </c>
      <c r="T156" s="58">
        <v>0</v>
      </c>
      <c r="U156" s="58">
        <v>80381.13</v>
      </c>
      <c r="V156" s="59"/>
      <c r="W156" s="31">
        <f t="shared" si="23"/>
        <v>468000.00231747143</v>
      </c>
      <c r="X156" s="60" t="e">
        <f>#REF!-W156</f>
        <v>#REF!</v>
      </c>
      <c r="Y156" s="60"/>
      <c r="Z156" s="33">
        <f t="shared" si="24"/>
        <v>0</v>
      </c>
      <c r="AA156" s="33">
        <f t="shared" si="25"/>
        <v>-2.3174714297056198E-3</v>
      </c>
      <c r="AB156" s="260">
        <f>SUM(W156:W160)</f>
        <v>526500.00422001688</v>
      </c>
      <c r="AC156" s="260">
        <f>SUM(Z156:Z160)</f>
        <v>121869.79840625483</v>
      </c>
      <c r="AD156" s="261"/>
      <c r="AE156" s="261"/>
      <c r="AF156" s="34" t="s">
        <v>212</v>
      </c>
    </row>
    <row r="157" spans="1:32" ht="15" customHeight="1" x14ac:dyDescent="0.35">
      <c r="A157" s="264"/>
      <c r="B157" s="272"/>
      <c r="C157" s="272"/>
      <c r="D157" s="25" t="s">
        <v>31</v>
      </c>
      <c r="E157" s="50" t="s">
        <v>104</v>
      </c>
      <c r="F157" s="55" t="s">
        <v>28</v>
      </c>
      <c r="G157" s="27" t="s">
        <v>29</v>
      </c>
      <c r="H157" s="64" t="s">
        <v>211</v>
      </c>
      <c r="I157" s="45">
        <f>112000/32.16</f>
        <v>3482.5870646766175</v>
      </c>
      <c r="J157" s="45">
        <v>0</v>
      </c>
      <c r="K157" s="45">
        <v>112000</v>
      </c>
      <c r="L157" s="45"/>
      <c r="M157" s="45"/>
      <c r="N157" s="45"/>
      <c r="O157" s="45">
        <v>20230.745586538182</v>
      </c>
      <c r="P157" s="45">
        <v>0</v>
      </c>
      <c r="Q157" s="45">
        <v>19550.532819716667</v>
      </c>
      <c r="R157" s="45">
        <v>0</v>
      </c>
      <c r="S157" s="58"/>
      <c r="T157" s="58">
        <v>74088.51999999999</v>
      </c>
      <c r="U157" s="58"/>
      <c r="V157" s="59"/>
      <c r="W157" s="31">
        <f t="shared" si="23"/>
        <v>0</v>
      </c>
      <c r="X157" s="60" t="e">
        <f>#REF!-W157</f>
        <v>#REF!</v>
      </c>
      <c r="Y157" s="60"/>
      <c r="Z157" s="33">
        <f t="shared" si="24"/>
        <v>113869.79840625483</v>
      </c>
      <c r="AA157" s="33">
        <f t="shared" si="25"/>
        <v>0</v>
      </c>
      <c r="AB157" s="261"/>
      <c r="AC157" s="261"/>
      <c r="AD157" s="261"/>
      <c r="AE157" s="261"/>
      <c r="AF157" s="34" t="s">
        <v>213</v>
      </c>
    </row>
    <row r="158" spans="1:32" ht="15" customHeight="1" x14ac:dyDescent="0.35">
      <c r="A158" s="264"/>
      <c r="B158" s="272"/>
      <c r="C158" s="272"/>
      <c r="D158" s="25" t="s">
        <v>33</v>
      </c>
      <c r="E158" s="50" t="s">
        <v>34</v>
      </c>
      <c r="F158" s="55" t="s">
        <v>28</v>
      </c>
      <c r="G158" s="27" t="s">
        <v>29</v>
      </c>
      <c r="H158" s="65" t="s">
        <v>214</v>
      </c>
      <c r="I158" s="45">
        <v>2000</v>
      </c>
      <c r="J158" s="45">
        <v>0</v>
      </c>
      <c r="K158" s="45">
        <v>8000</v>
      </c>
      <c r="L158" s="45"/>
      <c r="M158" s="45"/>
      <c r="N158" s="45"/>
      <c r="O158" s="45"/>
      <c r="P158" s="45">
        <v>0</v>
      </c>
      <c r="Q158" s="45">
        <v>0</v>
      </c>
      <c r="R158" s="45">
        <v>0</v>
      </c>
      <c r="S158" s="58"/>
      <c r="T158" s="58">
        <v>8000</v>
      </c>
      <c r="U158" s="58"/>
      <c r="V158" s="59"/>
      <c r="W158" s="31">
        <f t="shared" si="23"/>
        <v>0</v>
      </c>
      <c r="X158" s="60" t="e">
        <f>#REF!-W158</f>
        <v>#REF!</v>
      </c>
      <c r="Y158" s="60"/>
      <c r="Z158" s="33">
        <f t="shared" si="24"/>
        <v>8000</v>
      </c>
      <c r="AA158" s="33">
        <f t="shared" si="25"/>
        <v>0</v>
      </c>
      <c r="AB158" s="261"/>
      <c r="AC158" s="261"/>
      <c r="AD158" s="261"/>
      <c r="AE158" s="261"/>
      <c r="AF158" s="34" t="s">
        <v>215</v>
      </c>
    </row>
    <row r="159" spans="1:32" ht="15" customHeight="1" x14ac:dyDescent="0.35">
      <c r="A159" s="264"/>
      <c r="B159" s="272"/>
      <c r="C159" s="272"/>
      <c r="D159" s="25" t="s">
        <v>17</v>
      </c>
      <c r="E159" s="50" t="s">
        <v>104</v>
      </c>
      <c r="F159" s="55" t="s">
        <v>36</v>
      </c>
      <c r="G159" s="27" t="s">
        <v>55</v>
      </c>
      <c r="H159" s="64" t="s">
        <v>216</v>
      </c>
      <c r="I159" s="45">
        <v>3750</v>
      </c>
      <c r="J159" s="45">
        <v>30000</v>
      </c>
      <c r="K159" s="45">
        <v>0</v>
      </c>
      <c r="L159" s="45">
        <v>3762.15</v>
      </c>
      <c r="M159" s="45"/>
      <c r="N159" s="45">
        <v>1055.071902545455</v>
      </c>
      <c r="O159" s="45"/>
      <c r="P159" s="45">
        <v>0</v>
      </c>
      <c r="Q159" s="45">
        <v>0</v>
      </c>
      <c r="R159" s="45">
        <v>25182.778097454546</v>
      </c>
      <c r="S159" s="58">
        <v>25182.78</v>
      </c>
      <c r="T159" s="58"/>
      <c r="U159" s="58"/>
      <c r="V159" s="59"/>
      <c r="W159" s="31">
        <f t="shared" si="23"/>
        <v>30000.001902545453</v>
      </c>
      <c r="X159" s="60" t="e">
        <f>#REF!-W159</f>
        <v>#REF!</v>
      </c>
      <c r="Y159" s="60"/>
      <c r="Z159" s="33">
        <f t="shared" si="24"/>
        <v>0</v>
      </c>
      <c r="AA159" s="33">
        <f t="shared" si="25"/>
        <v>-1.9025454530492425E-3</v>
      </c>
      <c r="AB159" s="261"/>
      <c r="AC159" s="261"/>
      <c r="AD159" s="261"/>
      <c r="AE159" s="261"/>
      <c r="AF159" s="34" t="s">
        <v>217</v>
      </c>
    </row>
    <row r="160" spans="1:32" ht="15" customHeight="1" x14ac:dyDescent="0.35">
      <c r="A160" s="264"/>
      <c r="B160" s="272"/>
      <c r="C160" s="272"/>
      <c r="D160" s="25" t="s">
        <v>17</v>
      </c>
      <c r="E160" s="50" t="s">
        <v>104</v>
      </c>
      <c r="F160" s="55" t="s">
        <v>39</v>
      </c>
      <c r="G160" s="27" t="s">
        <v>40</v>
      </c>
      <c r="H160" s="27">
        <v>3</v>
      </c>
      <c r="I160" s="45">
        <v>9600</v>
      </c>
      <c r="J160" s="45">
        <v>28500</v>
      </c>
      <c r="K160" s="45">
        <v>0</v>
      </c>
      <c r="L160" s="45"/>
      <c r="M160" s="45"/>
      <c r="N160" s="45"/>
      <c r="O160" s="45"/>
      <c r="P160" s="45">
        <v>0</v>
      </c>
      <c r="Q160" s="45">
        <v>0</v>
      </c>
      <c r="R160" s="45">
        <v>28500</v>
      </c>
      <c r="S160" s="58">
        <v>28500</v>
      </c>
      <c r="T160" s="58"/>
      <c r="U160" s="58"/>
      <c r="V160" s="59"/>
      <c r="W160" s="31">
        <f t="shared" si="23"/>
        <v>28500</v>
      </c>
      <c r="X160" s="60" t="e">
        <f>#REF!-W160</f>
        <v>#REF!</v>
      </c>
      <c r="Y160" s="60"/>
      <c r="Z160" s="33">
        <f t="shared" si="24"/>
        <v>0</v>
      </c>
      <c r="AA160" s="33">
        <f t="shared" si="25"/>
        <v>0</v>
      </c>
      <c r="AB160" s="262"/>
      <c r="AC160" s="262"/>
      <c r="AD160" s="261"/>
      <c r="AE160" s="261"/>
      <c r="AF160" s="34" t="s">
        <v>218</v>
      </c>
    </row>
    <row r="161" spans="1:32" ht="15" customHeight="1" x14ac:dyDescent="0.35">
      <c r="A161" s="264"/>
      <c r="B161" s="272"/>
      <c r="C161" s="39"/>
      <c r="D161" s="39"/>
      <c r="E161" s="53"/>
      <c r="F161" s="57"/>
      <c r="G161" s="41"/>
      <c r="H161" s="41"/>
      <c r="I161" s="54"/>
      <c r="J161" s="54">
        <f>SUM(J156:J160)</f>
        <v>526500</v>
      </c>
      <c r="K161" s="54">
        <f t="shared" ref="K161:AC161" si="29">SUM(K156:K160)</f>
        <v>120000</v>
      </c>
      <c r="L161" s="54">
        <f t="shared" si="29"/>
        <v>76059.92</v>
      </c>
      <c r="M161" s="54">
        <f t="shared" si="29"/>
        <v>0</v>
      </c>
      <c r="N161" s="54">
        <f t="shared" si="29"/>
        <v>39854.466016025493</v>
      </c>
      <c r="O161" s="54">
        <f t="shared" si="29"/>
        <v>20230.745586538182</v>
      </c>
      <c r="P161" s="54">
        <f t="shared" si="29"/>
        <v>196136.70820399135</v>
      </c>
      <c r="Q161" s="54">
        <f t="shared" si="29"/>
        <v>19550.532819716667</v>
      </c>
      <c r="R161" s="54">
        <f t="shared" si="29"/>
        <v>214448.90577998312</v>
      </c>
      <c r="S161" s="54">
        <f t="shared" si="29"/>
        <v>134067.78</v>
      </c>
      <c r="T161" s="54">
        <f t="shared" si="29"/>
        <v>82088.51999999999</v>
      </c>
      <c r="U161" s="54">
        <f t="shared" si="29"/>
        <v>80381.13</v>
      </c>
      <c r="V161" s="54">
        <f t="shared" si="29"/>
        <v>0</v>
      </c>
      <c r="W161" s="54">
        <f t="shared" si="29"/>
        <v>526500.00422001688</v>
      </c>
      <c r="X161" s="54" t="e">
        <f t="shared" si="29"/>
        <v>#REF!</v>
      </c>
      <c r="Y161" s="54">
        <f t="shared" si="29"/>
        <v>0</v>
      </c>
      <c r="Z161" s="54">
        <f t="shared" si="29"/>
        <v>121869.79840625483</v>
      </c>
      <c r="AA161" s="54">
        <f t="shared" si="29"/>
        <v>-4.2200168827548623E-3</v>
      </c>
      <c r="AB161" s="54">
        <f t="shared" si="29"/>
        <v>526500.00422001688</v>
      </c>
      <c r="AC161" s="54">
        <f t="shared" si="29"/>
        <v>121869.79840625483</v>
      </c>
      <c r="AD161" s="261"/>
      <c r="AE161" s="261"/>
      <c r="AF161" s="49"/>
    </row>
    <row r="162" spans="1:32" ht="15" customHeight="1" x14ac:dyDescent="0.35">
      <c r="A162" s="264"/>
      <c r="B162" s="272"/>
      <c r="C162" s="272" t="s">
        <v>219</v>
      </c>
      <c r="D162" s="25" t="s">
        <v>17</v>
      </c>
      <c r="E162" s="50" t="s">
        <v>104</v>
      </c>
      <c r="F162" s="55" t="s">
        <v>28</v>
      </c>
      <c r="G162" s="27" t="s">
        <v>29</v>
      </c>
      <c r="H162" s="27">
        <v>6</v>
      </c>
      <c r="I162" s="45">
        <v>6583.3333400000001</v>
      </c>
      <c r="J162" s="45">
        <v>225000.00004000001</v>
      </c>
      <c r="K162" s="45">
        <v>0</v>
      </c>
      <c r="L162" s="45">
        <v>31433.58</v>
      </c>
      <c r="M162" s="45"/>
      <c r="N162" s="45">
        <v>39777.580278480011</v>
      </c>
      <c r="O162" s="45"/>
      <c r="P162" s="45">
        <v>92807.774563466635</v>
      </c>
      <c r="Q162" s="45">
        <v>0</v>
      </c>
      <c r="R162" s="45">
        <v>60981.065198053373</v>
      </c>
      <c r="S162" s="58">
        <v>60981.07</v>
      </c>
      <c r="T162" s="58"/>
      <c r="U162" s="58"/>
      <c r="V162" s="59"/>
      <c r="W162" s="31">
        <f t="shared" si="23"/>
        <v>225000.00484194665</v>
      </c>
      <c r="X162" s="60" t="e">
        <f>#REF!-W162</f>
        <v>#REF!</v>
      </c>
      <c r="Y162" s="60"/>
      <c r="Z162" s="33">
        <f t="shared" si="24"/>
        <v>0</v>
      </c>
      <c r="AA162" s="33">
        <f t="shared" si="25"/>
        <v>-4.8019466339610517E-3</v>
      </c>
      <c r="AB162" s="260">
        <f>SUM(W162:W165)</f>
        <v>239999.99674449209</v>
      </c>
      <c r="AC162" s="260">
        <f>SUM(Z162:Z165)</f>
        <v>46014.040804726523</v>
      </c>
      <c r="AD162" s="261"/>
      <c r="AE162" s="261"/>
      <c r="AF162" s="34" t="s">
        <v>220</v>
      </c>
    </row>
    <row r="163" spans="1:32" ht="15" customHeight="1" x14ac:dyDescent="0.35">
      <c r="A163" s="264"/>
      <c r="B163" s="272"/>
      <c r="C163" s="272"/>
      <c r="D163" s="25" t="s">
        <v>31</v>
      </c>
      <c r="E163" s="50" t="s">
        <v>104</v>
      </c>
      <c r="F163" s="55" t="s">
        <v>28</v>
      </c>
      <c r="G163" s="27" t="s">
        <v>29</v>
      </c>
      <c r="H163" s="27">
        <v>6</v>
      </c>
      <c r="I163" s="45">
        <v>7500</v>
      </c>
      <c r="J163" s="45">
        <v>0</v>
      </c>
      <c r="K163" s="45">
        <v>45000</v>
      </c>
      <c r="L163" s="45"/>
      <c r="M163" s="45"/>
      <c r="N163" s="45"/>
      <c r="O163" s="45">
        <v>3849.1049805381817</v>
      </c>
      <c r="P163" s="45">
        <v>0</v>
      </c>
      <c r="Q163" s="45">
        <v>9008.821869866666</v>
      </c>
      <c r="R163" s="45">
        <v>0</v>
      </c>
      <c r="S163" s="58"/>
      <c r="T163" s="58">
        <v>29156.11395432167</v>
      </c>
      <c r="U163" s="58"/>
      <c r="V163" s="59"/>
      <c r="W163" s="31">
        <f t="shared" si="23"/>
        <v>0</v>
      </c>
      <c r="X163" s="60" t="e">
        <f>#REF!-W163</f>
        <v>#REF!</v>
      </c>
      <c r="Y163" s="60"/>
      <c r="Z163" s="33">
        <f t="shared" si="24"/>
        <v>42014.040804726523</v>
      </c>
      <c r="AA163" s="33">
        <f t="shared" si="25"/>
        <v>0</v>
      </c>
      <c r="AB163" s="261"/>
      <c r="AC163" s="261"/>
      <c r="AD163" s="261"/>
      <c r="AE163" s="261"/>
      <c r="AF163" s="34" t="s">
        <v>221</v>
      </c>
    </row>
    <row r="164" spans="1:32" ht="15" customHeight="1" x14ac:dyDescent="0.35">
      <c r="A164" s="264"/>
      <c r="B164" s="272"/>
      <c r="C164" s="272"/>
      <c r="D164" s="25" t="s">
        <v>33</v>
      </c>
      <c r="E164" s="50" t="s">
        <v>34</v>
      </c>
      <c r="F164" s="55" t="s">
        <v>28</v>
      </c>
      <c r="G164" s="27" t="s">
        <v>29</v>
      </c>
      <c r="H164" s="27">
        <v>4</v>
      </c>
      <c r="I164" s="45">
        <v>1000</v>
      </c>
      <c r="J164" s="45">
        <v>0</v>
      </c>
      <c r="K164" s="45">
        <v>4000</v>
      </c>
      <c r="L164" s="45"/>
      <c r="M164" s="45"/>
      <c r="N164" s="45"/>
      <c r="O164" s="45"/>
      <c r="P164" s="45">
        <v>0</v>
      </c>
      <c r="Q164" s="45">
        <v>0</v>
      </c>
      <c r="R164" s="45">
        <v>0</v>
      </c>
      <c r="S164" s="58"/>
      <c r="T164" s="58">
        <v>4000</v>
      </c>
      <c r="U164" s="58"/>
      <c r="V164" s="59"/>
      <c r="W164" s="31">
        <f t="shared" si="23"/>
        <v>0</v>
      </c>
      <c r="X164" s="60" t="e">
        <f>#REF!-W164</f>
        <v>#REF!</v>
      </c>
      <c r="Y164" s="60"/>
      <c r="Z164" s="33">
        <f t="shared" si="24"/>
        <v>4000</v>
      </c>
      <c r="AA164" s="33">
        <f t="shared" si="25"/>
        <v>0</v>
      </c>
      <c r="AB164" s="261"/>
      <c r="AC164" s="261"/>
      <c r="AD164" s="261"/>
      <c r="AE164" s="261"/>
      <c r="AF164" s="34" t="s">
        <v>222</v>
      </c>
    </row>
    <row r="165" spans="1:32" ht="15" customHeight="1" x14ac:dyDescent="0.35">
      <c r="A165" s="264"/>
      <c r="B165" s="272"/>
      <c r="C165" s="272"/>
      <c r="D165" s="25" t="s">
        <v>17</v>
      </c>
      <c r="E165" s="50" t="s">
        <v>104</v>
      </c>
      <c r="F165" s="55" t="s">
        <v>36</v>
      </c>
      <c r="G165" s="27" t="s">
        <v>55</v>
      </c>
      <c r="H165" s="27">
        <v>1</v>
      </c>
      <c r="I165" s="45">
        <v>3750</v>
      </c>
      <c r="J165" s="45">
        <v>15000</v>
      </c>
      <c r="K165" s="45">
        <v>0</v>
      </c>
      <c r="L165" s="45">
        <v>1881.07</v>
      </c>
      <c r="M165" s="45"/>
      <c r="N165" s="45">
        <v>1055.071902545455</v>
      </c>
      <c r="O165" s="45"/>
      <c r="P165" s="45">
        <v>0</v>
      </c>
      <c r="Q165" s="45">
        <v>0</v>
      </c>
      <c r="R165" s="45">
        <v>12063.858097454544</v>
      </c>
      <c r="S165" s="58">
        <v>12063.85</v>
      </c>
      <c r="T165" s="58"/>
      <c r="U165" s="58"/>
      <c r="V165" s="59"/>
      <c r="W165" s="31">
        <f t="shared" si="23"/>
        <v>14999.991902545455</v>
      </c>
      <c r="X165" s="60" t="e">
        <f>#REF!-W165</f>
        <v>#REF!</v>
      </c>
      <c r="Y165" s="60"/>
      <c r="Z165" s="33">
        <f t="shared" si="24"/>
        <v>0</v>
      </c>
      <c r="AA165" s="33">
        <f t="shared" si="25"/>
        <v>8.0974545453500468E-3</v>
      </c>
      <c r="AB165" s="262"/>
      <c r="AC165" s="262"/>
      <c r="AD165" s="261"/>
      <c r="AE165" s="261"/>
      <c r="AF165" s="34" t="s">
        <v>223</v>
      </c>
    </row>
    <row r="166" spans="1:32" ht="15" customHeight="1" x14ac:dyDescent="0.35">
      <c r="A166" s="264"/>
      <c r="B166" s="272"/>
      <c r="C166" s="39"/>
      <c r="D166" s="39"/>
      <c r="E166" s="53"/>
      <c r="F166" s="57"/>
      <c r="G166" s="41"/>
      <c r="H166" s="41"/>
      <c r="I166" s="54"/>
      <c r="J166" s="54">
        <f>SUM(J162:J165)</f>
        <v>240000.00004000001</v>
      </c>
      <c r="K166" s="54">
        <f t="shared" ref="K166:AC166" si="30">SUM(K162:K165)</f>
        <v>49000</v>
      </c>
      <c r="L166" s="54">
        <f t="shared" si="30"/>
        <v>33314.65</v>
      </c>
      <c r="M166" s="54">
        <f t="shared" si="30"/>
        <v>0</v>
      </c>
      <c r="N166" s="54">
        <f t="shared" si="30"/>
        <v>40832.652181025464</v>
      </c>
      <c r="O166" s="54">
        <f t="shared" si="30"/>
        <v>3849.1049805381817</v>
      </c>
      <c r="P166" s="54">
        <f t="shared" si="30"/>
        <v>92807.774563466635</v>
      </c>
      <c r="Q166" s="54">
        <f t="shared" si="30"/>
        <v>9008.821869866666</v>
      </c>
      <c r="R166" s="54">
        <f t="shared" si="30"/>
        <v>73044.923295507921</v>
      </c>
      <c r="S166" s="54">
        <f t="shared" si="30"/>
        <v>73044.92</v>
      </c>
      <c r="T166" s="54">
        <f t="shared" si="30"/>
        <v>33156.11395432167</v>
      </c>
      <c r="U166" s="54">
        <f t="shared" si="30"/>
        <v>0</v>
      </c>
      <c r="V166" s="54">
        <f t="shared" si="30"/>
        <v>0</v>
      </c>
      <c r="W166" s="54">
        <f t="shared" si="30"/>
        <v>239999.99674449209</v>
      </c>
      <c r="X166" s="54" t="e">
        <f t="shared" si="30"/>
        <v>#REF!</v>
      </c>
      <c r="Y166" s="54">
        <f t="shared" si="30"/>
        <v>0</v>
      </c>
      <c r="Z166" s="54">
        <f t="shared" si="30"/>
        <v>46014.040804726523</v>
      </c>
      <c r="AA166" s="54">
        <f t="shared" si="30"/>
        <v>3.2955079113889951E-3</v>
      </c>
      <c r="AB166" s="54">
        <f t="shared" si="30"/>
        <v>239999.99674449209</v>
      </c>
      <c r="AC166" s="54">
        <f t="shared" si="30"/>
        <v>46014.040804726523</v>
      </c>
      <c r="AD166" s="261"/>
      <c r="AE166" s="261"/>
      <c r="AF166" s="49"/>
    </row>
    <row r="167" spans="1:32" ht="15" customHeight="1" x14ac:dyDescent="0.35">
      <c r="A167" s="264"/>
      <c r="B167" s="272"/>
      <c r="C167" s="272" t="s">
        <v>224</v>
      </c>
      <c r="D167" s="25" t="s">
        <v>17</v>
      </c>
      <c r="E167" s="50" t="s">
        <v>104</v>
      </c>
      <c r="F167" s="55" t="s">
        <v>28</v>
      </c>
      <c r="G167" s="27" t="s">
        <v>29</v>
      </c>
      <c r="H167" s="27">
        <v>34.18</v>
      </c>
      <c r="I167" s="45">
        <v>6583.3333400000001</v>
      </c>
      <c r="J167" s="45">
        <v>225000</v>
      </c>
      <c r="K167" s="45">
        <v>0</v>
      </c>
      <c r="L167" s="45">
        <v>32209.54</v>
      </c>
      <c r="M167" s="45"/>
      <c r="N167" s="45">
        <v>6041.6264672000061</v>
      </c>
      <c r="O167" s="45"/>
      <c r="P167" s="45">
        <v>17286.205515924998</v>
      </c>
      <c r="Q167" s="45">
        <v>0</v>
      </c>
      <c r="R167" s="45">
        <v>169462.62801687501</v>
      </c>
      <c r="S167" s="58">
        <v>84730</v>
      </c>
      <c r="T167" s="58"/>
      <c r="U167" s="58">
        <v>84732.63</v>
      </c>
      <c r="V167" s="59"/>
      <c r="W167" s="31">
        <f t="shared" si="23"/>
        <v>225000.001983125</v>
      </c>
      <c r="X167" s="60" t="e">
        <f>#REF!-W167</f>
        <v>#REF!</v>
      </c>
      <c r="Y167" s="60"/>
      <c r="Z167" s="33">
        <f t="shared" si="24"/>
        <v>0</v>
      </c>
      <c r="AA167" s="33">
        <f t="shared" si="25"/>
        <v>-1.9831249956041574E-3</v>
      </c>
      <c r="AB167" s="260">
        <f>SUM(W167:W172)</f>
        <v>263449.99388567044</v>
      </c>
      <c r="AC167" s="260">
        <f>SUM(Z167:Z172)</f>
        <v>47709.580052189856</v>
      </c>
      <c r="AD167" s="261"/>
      <c r="AE167" s="261"/>
      <c r="AF167" s="34" t="s">
        <v>225</v>
      </c>
    </row>
    <row r="168" spans="1:32" ht="15" customHeight="1" x14ac:dyDescent="0.35">
      <c r="A168" s="264"/>
      <c r="B168" s="272"/>
      <c r="C168" s="272"/>
      <c r="D168" s="25" t="s">
        <v>31</v>
      </c>
      <c r="E168" s="50" t="s">
        <v>104</v>
      </c>
      <c r="F168" s="55" t="s">
        <v>28</v>
      </c>
      <c r="G168" s="27" t="s">
        <v>29</v>
      </c>
      <c r="H168" s="27">
        <v>34.18</v>
      </c>
      <c r="I168" s="45">
        <f>45000/H168</f>
        <v>1316.5593914569924</v>
      </c>
      <c r="J168" s="45">
        <v>0</v>
      </c>
      <c r="K168" s="45">
        <v>45000</v>
      </c>
      <c r="L168" s="45"/>
      <c r="M168" s="45"/>
      <c r="N168" s="45"/>
      <c r="O168" s="45">
        <v>575.48034261818191</v>
      </c>
      <c r="P168" s="45">
        <v>0</v>
      </c>
      <c r="Q168" s="45">
        <v>1770.6355734500005</v>
      </c>
      <c r="R168" s="45">
        <v>0</v>
      </c>
      <c r="S168" s="58"/>
      <c r="T168" s="58">
        <v>41363.464136121671</v>
      </c>
      <c r="U168" s="58"/>
      <c r="V168" s="59"/>
      <c r="W168" s="31">
        <f t="shared" si="23"/>
        <v>0</v>
      </c>
      <c r="X168" s="60" t="e">
        <f>#REF!-W168</f>
        <v>#REF!</v>
      </c>
      <c r="Y168" s="60"/>
      <c r="Z168" s="33">
        <f t="shared" si="24"/>
        <v>43709.580052189856</v>
      </c>
      <c r="AA168" s="33">
        <f t="shared" si="25"/>
        <v>0</v>
      </c>
      <c r="AB168" s="261"/>
      <c r="AC168" s="261"/>
      <c r="AD168" s="261"/>
      <c r="AE168" s="261"/>
      <c r="AF168" s="34" t="s">
        <v>226</v>
      </c>
    </row>
    <row r="169" spans="1:32" ht="15" customHeight="1" x14ac:dyDescent="0.35">
      <c r="A169" s="264"/>
      <c r="B169" s="272"/>
      <c r="C169" s="272"/>
      <c r="D169" s="25" t="s">
        <v>33</v>
      </c>
      <c r="E169" s="50" t="s">
        <v>34</v>
      </c>
      <c r="F169" s="55" t="s">
        <v>28</v>
      </c>
      <c r="G169" s="27" t="s">
        <v>29</v>
      </c>
      <c r="H169" s="27">
        <v>1.5</v>
      </c>
      <c r="I169" s="45">
        <f>4000/3</f>
        <v>1333.3333333333333</v>
      </c>
      <c r="J169" s="45">
        <v>0</v>
      </c>
      <c r="K169" s="45">
        <v>4000</v>
      </c>
      <c r="L169" s="45"/>
      <c r="M169" s="45"/>
      <c r="N169" s="45"/>
      <c r="O169" s="45"/>
      <c r="P169" s="45">
        <v>0</v>
      </c>
      <c r="Q169" s="45">
        <v>0</v>
      </c>
      <c r="R169" s="45">
        <v>0</v>
      </c>
      <c r="S169" s="58"/>
      <c r="T169" s="58">
        <v>4000</v>
      </c>
      <c r="U169" s="58"/>
      <c r="V169" s="59"/>
      <c r="W169" s="31">
        <f t="shared" si="23"/>
        <v>0</v>
      </c>
      <c r="X169" s="60" t="e">
        <f>#REF!-W169</f>
        <v>#REF!</v>
      </c>
      <c r="Y169" s="60"/>
      <c r="Z169" s="33">
        <f t="shared" si="24"/>
        <v>4000</v>
      </c>
      <c r="AA169" s="33">
        <f t="shared" si="25"/>
        <v>0</v>
      </c>
      <c r="AB169" s="261"/>
      <c r="AC169" s="261"/>
      <c r="AD169" s="261"/>
      <c r="AE169" s="261"/>
      <c r="AF169" s="34" t="s">
        <v>227</v>
      </c>
    </row>
    <row r="170" spans="1:32" ht="15" customHeight="1" x14ac:dyDescent="0.35">
      <c r="A170" s="264"/>
      <c r="B170" s="272"/>
      <c r="C170" s="272"/>
      <c r="D170" s="25" t="s">
        <v>17</v>
      </c>
      <c r="E170" s="50" t="s">
        <v>161</v>
      </c>
      <c r="F170" s="55" t="s">
        <v>57</v>
      </c>
      <c r="G170" s="27" t="s">
        <v>86</v>
      </c>
      <c r="H170" s="27">
        <v>1</v>
      </c>
      <c r="I170" s="45">
        <v>9950</v>
      </c>
      <c r="J170" s="45">
        <v>9950</v>
      </c>
      <c r="K170" s="45">
        <v>0</v>
      </c>
      <c r="L170" s="45">
        <v>9950</v>
      </c>
      <c r="M170" s="45"/>
      <c r="N170" s="45"/>
      <c r="O170" s="45"/>
      <c r="P170" s="45">
        <v>0</v>
      </c>
      <c r="Q170" s="45">
        <v>0</v>
      </c>
      <c r="R170" s="45">
        <v>0</v>
      </c>
      <c r="S170" s="58"/>
      <c r="T170" s="58"/>
      <c r="U170" s="58"/>
      <c r="V170" s="59"/>
      <c r="W170" s="31">
        <f t="shared" si="23"/>
        <v>9950</v>
      </c>
      <c r="X170" s="60" t="e">
        <f>#REF!-W170</f>
        <v>#REF!</v>
      </c>
      <c r="Y170" s="60"/>
      <c r="Z170" s="33">
        <f t="shared" si="24"/>
        <v>0</v>
      </c>
      <c r="AA170" s="33">
        <f t="shared" si="25"/>
        <v>0</v>
      </c>
      <c r="AB170" s="261"/>
      <c r="AC170" s="261"/>
      <c r="AD170" s="261"/>
      <c r="AE170" s="261"/>
      <c r="AF170" s="34" t="s">
        <v>228</v>
      </c>
    </row>
    <row r="171" spans="1:32" ht="15" customHeight="1" x14ac:dyDescent="0.35">
      <c r="A171" s="264"/>
      <c r="B171" s="272"/>
      <c r="C171" s="272"/>
      <c r="D171" s="25" t="s">
        <v>17</v>
      </c>
      <c r="E171" s="50" t="s">
        <v>104</v>
      </c>
      <c r="F171" s="55" t="s">
        <v>36</v>
      </c>
      <c r="G171" s="27" t="s">
        <v>55</v>
      </c>
      <c r="H171" s="27">
        <v>4</v>
      </c>
      <c r="I171" s="45">
        <v>3750</v>
      </c>
      <c r="J171" s="45">
        <v>15000</v>
      </c>
      <c r="K171" s="45">
        <v>0</v>
      </c>
      <c r="L171" s="45">
        <v>1881.07</v>
      </c>
      <c r="M171" s="45"/>
      <c r="N171" s="45">
        <v>1055.071902545455</v>
      </c>
      <c r="O171" s="45"/>
      <c r="P171" s="45">
        <v>0</v>
      </c>
      <c r="Q171" s="45">
        <v>0</v>
      </c>
      <c r="R171" s="45">
        <v>12063.85</v>
      </c>
      <c r="S171" s="58">
        <v>12063.85</v>
      </c>
      <c r="T171" s="58"/>
      <c r="U171" s="58"/>
      <c r="V171" s="59"/>
      <c r="W171" s="31">
        <f t="shared" si="23"/>
        <v>14999.991902545455</v>
      </c>
      <c r="X171" s="60" t="e">
        <f>#REF!-W171</f>
        <v>#REF!</v>
      </c>
      <c r="Y171" s="60"/>
      <c r="Z171" s="33">
        <f t="shared" si="24"/>
        <v>0</v>
      </c>
      <c r="AA171" s="33">
        <f t="shared" si="25"/>
        <v>8.0974545453500468E-3</v>
      </c>
      <c r="AB171" s="261"/>
      <c r="AC171" s="261"/>
      <c r="AD171" s="261"/>
      <c r="AE171" s="261"/>
      <c r="AF171" s="34" t="s">
        <v>229</v>
      </c>
    </row>
    <row r="172" spans="1:32" ht="15" customHeight="1" x14ac:dyDescent="0.35">
      <c r="A172" s="264"/>
      <c r="B172" s="272"/>
      <c r="C172" s="272"/>
      <c r="D172" s="25" t="s">
        <v>17</v>
      </c>
      <c r="E172" s="50" t="s">
        <v>104</v>
      </c>
      <c r="F172" s="55" t="s">
        <v>39</v>
      </c>
      <c r="G172" s="27" t="s">
        <v>40</v>
      </c>
      <c r="H172" s="27">
        <v>3</v>
      </c>
      <c r="I172" s="35">
        <v>4500</v>
      </c>
      <c r="J172" s="35">
        <v>13500</v>
      </c>
      <c r="K172" s="35">
        <v>0</v>
      </c>
      <c r="L172" s="35"/>
      <c r="M172" s="35"/>
      <c r="N172" s="35"/>
      <c r="O172" s="35"/>
      <c r="P172" s="35">
        <v>0</v>
      </c>
      <c r="Q172" s="35">
        <v>0</v>
      </c>
      <c r="R172" s="35">
        <v>13500</v>
      </c>
      <c r="S172" s="58">
        <v>13500</v>
      </c>
      <c r="T172" s="58"/>
      <c r="U172" s="58"/>
      <c r="V172" s="59"/>
      <c r="W172" s="31">
        <f t="shared" si="23"/>
        <v>13500</v>
      </c>
      <c r="X172" s="60" t="e">
        <f>#REF!-W172</f>
        <v>#REF!</v>
      </c>
      <c r="Y172" s="60"/>
      <c r="Z172" s="33">
        <f t="shared" si="24"/>
        <v>0</v>
      </c>
      <c r="AA172" s="33">
        <f t="shared" si="25"/>
        <v>0</v>
      </c>
      <c r="AB172" s="262"/>
      <c r="AC172" s="262"/>
      <c r="AD172" s="261"/>
      <c r="AE172" s="261"/>
      <c r="AF172" s="34" t="s">
        <v>230</v>
      </c>
    </row>
    <row r="173" spans="1:32" ht="15" customHeight="1" x14ac:dyDescent="0.35">
      <c r="A173" s="264"/>
      <c r="B173" s="272"/>
      <c r="C173" s="39"/>
      <c r="D173" s="39"/>
      <c r="E173" s="53"/>
      <c r="F173" s="57"/>
      <c r="G173" s="41"/>
      <c r="H173" s="41"/>
      <c r="I173" s="42"/>
      <c r="J173" s="42">
        <f>SUM(J167:J172)</f>
        <v>263450</v>
      </c>
      <c r="K173" s="42">
        <f t="shared" ref="K173:AC173" si="31">SUM(K167:K172)</f>
        <v>49000</v>
      </c>
      <c r="L173" s="42">
        <f t="shared" si="31"/>
        <v>44040.61</v>
      </c>
      <c r="M173" s="42">
        <f t="shared" si="31"/>
        <v>0</v>
      </c>
      <c r="N173" s="42">
        <f t="shared" si="31"/>
        <v>7096.6983697454616</v>
      </c>
      <c r="O173" s="42">
        <f t="shared" si="31"/>
        <v>575.48034261818191</v>
      </c>
      <c r="P173" s="42">
        <f t="shared" si="31"/>
        <v>17286.205515924998</v>
      </c>
      <c r="Q173" s="42">
        <f t="shared" si="31"/>
        <v>1770.6355734500005</v>
      </c>
      <c r="R173" s="42">
        <f t="shared" si="31"/>
        <v>195026.47801687501</v>
      </c>
      <c r="S173" s="42">
        <f t="shared" si="31"/>
        <v>110293.85</v>
      </c>
      <c r="T173" s="42">
        <f t="shared" si="31"/>
        <v>45363.464136121671</v>
      </c>
      <c r="U173" s="42">
        <f t="shared" si="31"/>
        <v>84732.63</v>
      </c>
      <c r="V173" s="42">
        <f t="shared" si="31"/>
        <v>0</v>
      </c>
      <c r="W173" s="42">
        <f t="shared" si="31"/>
        <v>263449.99388567044</v>
      </c>
      <c r="X173" s="42" t="e">
        <f t="shared" si="31"/>
        <v>#REF!</v>
      </c>
      <c r="Y173" s="42">
        <f t="shared" si="31"/>
        <v>0</v>
      </c>
      <c r="Z173" s="42">
        <f t="shared" si="31"/>
        <v>47709.580052189856</v>
      </c>
      <c r="AA173" s="42">
        <f t="shared" si="31"/>
        <v>6.1143295497458894E-3</v>
      </c>
      <c r="AB173" s="42">
        <f t="shared" si="31"/>
        <v>263449.99388567044</v>
      </c>
      <c r="AC173" s="42">
        <f t="shared" si="31"/>
        <v>47709.580052189856</v>
      </c>
      <c r="AD173" s="261"/>
      <c r="AE173" s="261"/>
      <c r="AF173" s="49"/>
    </row>
    <row r="174" spans="1:32" ht="15" customHeight="1" x14ac:dyDescent="0.35">
      <c r="A174" s="264"/>
      <c r="B174" s="272"/>
      <c r="C174" s="272" t="s">
        <v>231</v>
      </c>
      <c r="D174" s="25" t="s">
        <v>17</v>
      </c>
      <c r="E174" s="50" t="s">
        <v>232</v>
      </c>
      <c r="F174" s="55" t="s">
        <v>118</v>
      </c>
      <c r="G174" s="27" t="s">
        <v>86</v>
      </c>
      <c r="H174" s="27">
        <v>1</v>
      </c>
      <c r="I174" s="35">
        <v>260800</v>
      </c>
      <c r="J174" s="35">
        <v>260800</v>
      </c>
      <c r="K174" s="35">
        <v>0</v>
      </c>
      <c r="L174" s="35">
        <v>44325.42</v>
      </c>
      <c r="M174" s="35"/>
      <c r="N174" s="35">
        <v>0</v>
      </c>
      <c r="O174" s="35"/>
      <c r="P174" s="35">
        <v>64271.78</v>
      </c>
      <c r="Q174" s="35"/>
      <c r="R174" s="35">
        <v>152202.79999999999</v>
      </c>
      <c r="S174" s="58">
        <v>152202.79999999999</v>
      </c>
      <c r="T174" s="58"/>
      <c r="U174" s="58">
        <v>0</v>
      </c>
      <c r="V174" s="59"/>
      <c r="W174" s="31">
        <f t="shared" si="23"/>
        <v>260800</v>
      </c>
      <c r="X174" s="60" t="e">
        <f>#REF!-W174</f>
        <v>#REF!</v>
      </c>
      <c r="Y174" s="60"/>
      <c r="Z174" s="33">
        <f t="shared" si="24"/>
        <v>0</v>
      </c>
      <c r="AA174" s="33">
        <f t="shared" si="25"/>
        <v>0</v>
      </c>
      <c r="AB174" s="260">
        <f>SUM(W174:W177)</f>
        <v>331249.99899559998</v>
      </c>
      <c r="AC174" s="260">
        <f>SUM(Z174:Z177)</f>
        <v>0</v>
      </c>
      <c r="AD174" s="261"/>
      <c r="AE174" s="261"/>
      <c r="AF174" s="34" t="s">
        <v>233</v>
      </c>
    </row>
    <row r="175" spans="1:32" ht="15" customHeight="1" x14ac:dyDescent="0.35">
      <c r="A175" s="264"/>
      <c r="B175" s="272"/>
      <c r="C175" s="272"/>
      <c r="D175" s="25" t="s">
        <v>17</v>
      </c>
      <c r="E175" s="50" t="s">
        <v>232</v>
      </c>
      <c r="F175" s="55" t="s">
        <v>118</v>
      </c>
      <c r="G175" s="27" t="s">
        <v>86</v>
      </c>
      <c r="H175" s="27">
        <v>1</v>
      </c>
      <c r="I175" s="35">
        <v>40000</v>
      </c>
      <c r="J175" s="35">
        <v>40000</v>
      </c>
      <c r="K175" s="35">
        <v>0</v>
      </c>
      <c r="L175" s="35">
        <v>33204.959999999999</v>
      </c>
      <c r="M175" s="35"/>
      <c r="N175" s="35">
        <v>0</v>
      </c>
      <c r="O175" s="35"/>
      <c r="P175" s="35">
        <v>0</v>
      </c>
      <c r="Q175" s="35"/>
      <c r="R175" s="35">
        <v>6795.0400000000009</v>
      </c>
      <c r="S175" s="58">
        <v>6795.04</v>
      </c>
      <c r="T175" s="58"/>
      <c r="U175" s="58">
        <v>0</v>
      </c>
      <c r="V175" s="59"/>
      <c r="W175" s="31">
        <f t="shared" si="23"/>
        <v>40000</v>
      </c>
      <c r="X175" s="60" t="e">
        <f>#REF!-W175</f>
        <v>#REF!</v>
      </c>
      <c r="Y175" s="60"/>
      <c r="Z175" s="33">
        <f t="shared" si="24"/>
        <v>0</v>
      </c>
      <c r="AA175" s="33">
        <f t="shared" si="25"/>
        <v>0</v>
      </c>
      <c r="AB175" s="261"/>
      <c r="AC175" s="261"/>
      <c r="AD175" s="261"/>
      <c r="AE175" s="261"/>
      <c r="AF175" s="34" t="s">
        <v>234</v>
      </c>
    </row>
    <row r="176" spans="1:32" ht="15" customHeight="1" x14ac:dyDescent="0.35">
      <c r="A176" s="264"/>
      <c r="B176" s="272"/>
      <c r="C176" s="272"/>
      <c r="D176" s="25" t="s">
        <v>17</v>
      </c>
      <c r="E176" s="50" t="s">
        <v>232</v>
      </c>
      <c r="F176" s="55" t="s">
        <v>69</v>
      </c>
      <c r="G176" s="27" t="s">
        <v>55</v>
      </c>
      <c r="H176" s="27">
        <v>35</v>
      </c>
      <c r="I176" s="45">
        <v>350</v>
      </c>
      <c r="J176" s="45">
        <v>12450</v>
      </c>
      <c r="K176" s="45">
        <v>0</v>
      </c>
      <c r="L176" s="45"/>
      <c r="M176" s="45"/>
      <c r="N176" s="45">
        <v>0</v>
      </c>
      <c r="O176" s="45"/>
      <c r="P176" s="45">
        <v>621.60899559997824</v>
      </c>
      <c r="Q176" s="45"/>
      <c r="R176" s="45">
        <v>11828.391004400022</v>
      </c>
      <c r="S176" s="58">
        <v>0</v>
      </c>
      <c r="T176" s="58"/>
      <c r="U176" s="58">
        <v>11828.39</v>
      </c>
      <c r="V176" s="59"/>
      <c r="W176" s="31">
        <f t="shared" si="23"/>
        <v>12449.998995599977</v>
      </c>
      <c r="X176" s="60" t="e">
        <f>#REF!-W176</f>
        <v>#REF!</v>
      </c>
      <c r="Y176" s="60"/>
      <c r="Z176" s="33">
        <f t="shared" si="24"/>
        <v>0</v>
      </c>
      <c r="AA176" s="33">
        <f t="shared" si="25"/>
        <v>1.0044000227935612E-3</v>
      </c>
      <c r="AB176" s="261"/>
      <c r="AC176" s="261"/>
      <c r="AD176" s="261"/>
      <c r="AE176" s="261"/>
      <c r="AF176" s="34" t="s">
        <v>235</v>
      </c>
    </row>
    <row r="177" spans="1:32" ht="15" customHeight="1" x14ac:dyDescent="0.35">
      <c r="A177" s="264"/>
      <c r="B177" s="272"/>
      <c r="C177" s="272"/>
      <c r="D177" s="25" t="s">
        <v>17</v>
      </c>
      <c r="E177" s="50" t="s">
        <v>232</v>
      </c>
      <c r="F177" s="55" t="s">
        <v>118</v>
      </c>
      <c r="G177" s="27" t="s">
        <v>86</v>
      </c>
      <c r="H177" s="27">
        <v>1</v>
      </c>
      <c r="I177" s="45">
        <v>18000</v>
      </c>
      <c r="J177" s="45">
        <v>18000</v>
      </c>
      <c r="K177" s="45">
        <v>0</v>
      </c>
      <c r="L177" s="45"/>
      <c r="M177" s="45"/>
      <c r="N177" s="45">
        <v>0</v>
      </c>
      <c r="O177" s="45"/>
      <c r="P177" s="45">
        <v>0</v>
      </c>
      <c r="Q177" s="45"/>
      <c r="R177" s="45">
        <v>18000</v>
      </c>
      <c r="S177" s="58">
        <v>18000</v>
      </c>
      <c r="T177" s="58"/>
      <c r="U177" s="58">
        <v>0</v>
      </c>
      <c r="V177" s="59"/>
      <c r="W177" s="31">
        <f t="shared" si="23"/>
        <v>18000</v>
      </c>
      <c r="X177" s="60" t="e">
        <f>#REF!-W177</f>
        <v>#REF!</v>
      </c>
      <c r="Y177" s="60"/>
      <c r="Z177" s="33">
        <f t="shared" si="24"/>
        <v>0</v>
      </c>
      <c r="AA177" s="33">
        <f t="shared" si="25"/>
        <v>0</v>
      </c>
      <c r="AB177" s="262"/>
      <c r="AC177" s="262"/>
      <c r="AD177" s="261"/>
      <c r="AE177" s="261"/>
      <c r="AF177" s="34" t="s">
        <v>236</v>
      </c>
    </row>
    <row r="178" spans="1:32" ht="15" customHeight="1" x14ac:dyDescent="0.35">
      <c r="A178" s="264"/>
      <c r="B178" s="272"/>
      <c r="C178" s="39"/>
      <c r="D178" s="39"/>
      <c r="E178" s="53"/>
      <c r="F178" s="57"/>
      <c r="G178" s="41"/>
      <c r="H178" s="41"/>
      <c r="I178" s="54"/>
      <c r="J178" s="54">
        <f>SUM(J174:J177)</f>
        <v>331250</v>
      </c>
      <c r="K178" s="54">
        <f t="shared" ref="K178:AF178" si="32">SUM(K174:K177)</f>
        <v>0</v>
      </c>
      <c r="L178" s="54">
        <f t="shared" si="32"/>
        <v>77530.38</v>
      </c>
      <c r="M178" s="54">
        <f t="shared" si="32"/>
        <v>0</v>
      </c>
      <c r="N178" s="54">
        <f t="shared" si="32"/>
        <v>0</v>
      </c>
      <c r="O178" s="54">
        <f t="shared" si="32"/>
        <v>0</v>
      </c>
      <c r="P178" s="54">
        <f t="shared" si="32"/>
        <v>64893.388995599977</v>
      </c>
      <c r="Q178" s="54">
        <f t="shared" si="32"/>
        <v>0</v>
      </c>
      <c r="R178" s="54">
        <f t="shared" si="32"/>
        <v>188826.2310044</v>
      </c>
      <c r="S178" s="54">
        <f t="shared" si="32"/>
        <v>176997.84</v>
      </c>
      <c r="T178" s="54">
        <f t="shared" si="32"/>
        <v>0</v>
      </c>
      <c r="U178" s="54">
        <f t="shared" si="32"/>
        <v>11828.39</v>
      </c>
      <c r="V178" s="54">
        <f t="shared" si="32"/>
        <v>0</v>
      </c>
      <c r="W178" s="54">
        <f t="shared" si="32"/>
        <v>331249.99899559998</v>
      </c>
      <c r="X178" s="54" t="e">
        <f t="shared" si="32"/>
        <v>#REF!</v>
      </c>
      <c r="Y178" s="54">
        <f t="shared" si="32"/>
        <v>0</v>
      </c>
      <c r="Z178" s="54">
        <f t="shared" si="32"/>
        <v>0</v>
      </c>
      <c r="AA178" s="54">
        <f t="shared" si="32"/>
        <v>1.0044000227935612E-3</v>
      </c>
      <c r="AB178" s="54">
        <f t="shared" si="32"/>
        <v>331249.99899559998</v>
      </c>
      <c r="AC178" s="54">
        <f t="shared" si="32"/>
        <v>0</v>
      </c>
      <c r="AD178" s="261"/>
      <c r="AE178" s="261"/>
      <c r="AF178" s="54">
        <f t="shared" si="32"/>
        <v>0</v>
      </c>
    </row>
    <row r="179" spans="1:32" ht="15" customHeight="1" x14ac:dyDescent="0.35">
      <c r="A179" s="264"/>
      <c r="B179" s="272"/>
      <c r="C179" s="272" t="s">
        <v>237</v>
      </c>
      <c r="D179" s="25" t="s">
        <v>17</v>
      </c>
      <c r="E179" s="50" t="s">
        <v>232</v>
      </c>
      <c r="F179" s="55" t="s">
        <v>28</v>
      </c>
      <c r="G179" s="27" t="s">
        <v>29</v>
      </c>
      <c r="H179" s="27">
        <v>32</v>
      </c>
      <c r="I179" s="45">
        <v>2300</v>
      </c>
      <c r="J179" s="45">
        <v>73800</v>
      </c>
      <c r="K179" s="45">
        <v>0</v>
      </c>
      <c r="L179" s="45">
        <v>8862.7999999999993</v>
      </c>
      <c r="M179" s="45"/>
      <c r="N179" s="45">
        <v>1345.45</v>
      </c>
      <c r="O179" s="45"/>
      <c r="P179" s="45">
        <v>14361.355567845099</v>
      </c>
      <c r="Q179" s="45"/>
      <c r="R179" s="45">
        <v>49230.394432154899</v>
      </c>
      <c r="S179" s="58">
        <v>49230.39</v>
      </c>
      <c r="T179" s="58"/>
      <c r="U179" s="58"/>
      <c r="V179" s="59"/>
      <c r="W179" s="31">
        <f t="shared" si="23"/>
        <v>73799.995567845093</v>
      </c>
      <c r="X179" s="60" t="e">
        <f>#REF!-W179</f>
        <v>#REF!</v>
      </c>
      <c r="Y179" s="60"/>
      <c r="Z179" s="33">
        <f t="shared" si="24"/>
        <v>0</v>
      </c>
      <c r="AA179" s="33">
        <f t="shared" si="25"/>
        <v>4.4321549066808075E-3</v>
      </c>
      <c r="AB179" s="260">
        <f>SUM(W179:W194)</f>
        <v>387450.00556784507</v>
      </c>
      <c r="AC179" s="260">
        <f>SUM(Z179:Z194)</f>
        <v>0</v>
      </c>
      <c r="AD179" s="261"/>
      <c r="AE179" s="261"/>
      <c r="AF179" s="34" t="s">
        <v>238</v>
      </c>
    </row>
    <row r="180" spans="1:32" ht="15" customHeight="1" x14ac:dyDescent="0.35">
      <c r="A180" s="264"/>
      <c r="B180" s="272"/>
      <c r="C180" s="272"/>
      <c r="D180" s="25" t="s">
        <v>17</v>
      </c>
      <c r="E180" s="50" t="s">
        <v>232</v>
      </c>
      <c r="F180" s="55" t="s">
        <v>120</v>
      </c>
      <c r="G180" s="27" t="s">
        <v>58</v>
      </c>
      <c r="H180" s="27">
        <v>40</v>
      </c>
      <c r="I180" s="45">
        <v>250</v>
      </c>
      <c r="J180" s="45">
        <v>10000</v>
      </c>
      <c r="K180" s="45">
        <v>0</v>
      </c>
      <c r="L180" s="45"/>
      <c r="M180" s="45"/>
      <c r="N180" s="45">
        <v>7987.1900000000005</v>
      </c>
      <c r="O180" s="45"/>
      <c r="P180" s="45">
        <v>0</v>
      </c>
      <c r="Q180" s="45"/>
      <c r="R180" s="45">
        <v>2012.8099999999995</v>
      </c>
      <c r="S180" s="58">
        <v>2012.81</v>
      </c>
      <c r="T180" s="58"/>
      <c r="U180" s="58"/>
      <c r="V180" s="59"/>
      <c r="W180" s="31">
        <f t="shared" si="23"/>
        <v>10000</v>
      </c>
      <c r="X180" s="60" t="e">
        <f>#REF!-W180</f>
        <v>#REF!</v>
      </c>
      <c r="Y180" s="60"/>
      <c r="Z180" s="33">
        <f t="shared" si="24"/>
        <v>0</v>
      </c>
      <c r="AA180" s="33">
        <f t="shared" si="25"/>
        <v>0</v>
      </c>
      <c r="AB180" s="261"/>
      <c r="AC180" s="261"/>
      <c r="AD180" s="261"/>
      <c r="AE180" s="261"/>
      <c r="AF180" s="34" t="s">
        <v>239</v>
      </c>
    </row>
    <row r="181" spans="1:32" ht="15" customHeight="1" x14ac:dyDescent="0.35">
      <c r="A181" s="264"/>
      <c r="B181" s="272"/>
      <c r="C181" s="272"/>
      <c r="D181" s="25" t="s">
        <v>17</v>
      </c>
      <c r="E181" s="50" t="s">
        <v>232</v>
      </c>
      <c r="F181" s="55" t="s">
        <v>57</v>
      </c>
      <c r="G181" s="27" t="s">
        <v>58</v>
      </c>
      <c r="H181" s="27">
        <v>50</v>
      </c>
      <c r="I181" s="45">
        <v>600</v>
      </c>
      <c r="J181" s="45">
        <v>30000</v>
      </c>
      <c r="K181" s="45">
        <v>0</v>
      </c>
      <c r="L181" s="45"/>
      <c r="M181" s="45"/>
      <c r="N181" s="45"/>
      <c r="O181" s="45"/>
      <c r="P181" s="45">
        <v>1497.53</v>
      </c>
      <c r="Q181" s="45"/>
      <c r="R181" s="45">
        <v>28502.47</v>
      </c>
      <c r="S181" s="58">
        <v>28502.47</v>
      </c>
      <c r="T181" s="58"/>
      <c r="U181" s="58"/>
      <c r="V181" s="59"/>
      <c r="W181" s="31">
        <f t="shared" si="23"/>
        <v>30000</v>
      </c>
      <c r="X181" s="60" t="e">
        <f>#REF!-W181</f>
        <v>#REF!</v>
      </c>
      <c r="Y181" s="60"/>
      <c r="Z181" s="33">
        <f t="shared" si="24"/>
        <v>0</v>
      </c>
      <c r="AA181" s="33">
        <f t="shared" si="25"/>
        <v>0</v>
      </c>
      <c r="AB181" s="261"/>
      <c r="AC181" s="261"/>
      <c r="AD181" s="261"/>
      <c r="AE181" s="261"/>
      <c r="AF181" s="34" t="s">
        <v>240</v>
      </c>
    </row>
    <row r="182" spans="1:32" ht="15" customHeight="1" x14ac:dyDescent="0.35">
      <c r="A182" s="264"/>
      <c r="B182" s="272"/>
      <c r="C182" s="272"/>
      <c r="D182" s="25" t="s">
        <v>17</v>
      </c>
      <c r="E182" s="50" t="s">
        <v>232</v>
      </c>
      <c r="F182" s="55" t="s">
        <v>57</v>
      </c>
      <c r="G182" s="27" t="s">
        <v>58</v>
      </c>
      <c r="H182" s="27">
        <v>50</v>
      </c>
      <c r="I182" s="45">
        <v>600</v>
      </c>
      <c r="J182" s="45">
        <v>30000</v>
      </c>
      <c r="K182" s="45">
        <v>0</v>
      </c>
      <c r="L182" s="45"/>
      <c r="M182" s="45"/>
      <c r="N182" s="45"/>
      <c r="O182" s="45"/>
      <c r="P182" s="45">
        <v>0</v>
      </c>
      <c r="Q182" s="45"/>
      <c r="R182" s="45">
        <v>30000</v>
      </c>
      <c r="S182" s="58">
        <v>30000</v>
      </c>
      <c r="T182" s="58"/>
      <c r="U182" s="58"/>
      <c r="V182" s="59"/>
      <c r="W182" s="31">
        <f t="shared" si="23"/>
        <v>30000</v>
      </c>
      <c r="X182" s="60" t="e">
        <f>#REF!-W182</f>
        <v>#REF!</v>
      </c>
      <c r="Y182" s="60"/>
      <c r="Z182" s="33">
        <f t="shared" si="24"/>
        <v>0</v>
      </c>
      <c r="AA182" s="33">
        <f t="shared" si="25"/>
        <v>0</v>
      </c>
      <c r="AB182" s="261"/>
      <c r="AC182" s="261"/>
      <c r="AD182" s="261"/>
      <c r="AE182" s="261"/>
      <c r="AF182" s="34" t="s">
        <v>241</v>
      </c>
    </row>
    <row r="183" spans="1:32" ht="15" customHeight="1" x14ac:dyDescent="0.35">
      <c r="A183" s="264"/>
      <c r="B183" s="272"/>
      <c r="C183" s="272"/>
      <c r="D183" s="25" t="s">
        <v>17</v>
      </c>
      <c r="E183" s="50" t="s">
        <v>232</v>
      </c>
      <c r="F183" s="55" t="s">
        <v>61</v>
      </c>
      <c r="G183" s="27" t="s">
        <v>62</v>
      </c>
      <c r="H183" s="27">
        <v>4</v>
      </c>
      <c r="I183" s="45">
        <v>5000</v>
      </c>
      <c r="J183" s="45">
        <v>20000</v>
      </c>
      <c r="K183" s="45">
        <v>0</v>
      </c>
      <c r="L183" s="45">
        <v>11504.78</v>
      </c>
      <c r="M183" s="45"/>
      <c r="N183" s="45">
        <v>222.66</v>
      </c>
      <c r="O183" s="45"/>
      <c r="P183" s="45">
        <v>0</v>
      </c>
      <c r="Q183" s="45"/>
      <c r="R183" s="45">
        <v>8272.56</v>
      </c>
      <c r="S183" s="58">
        <v>8272.57</v>
      </c>
      <c r="T183" s="58"/>
      <c r="U183" s="58"/>
      <c r="V183" s="59"/>
      <c r="W183" s="31">
        <f t="shared" si="23"/>
        <v>20000.010000000002</v>
      </c>
      <c r="X183" s="60" t="e">
        <f>#REF!-W183</f>
        <v>#REF!</v>
      </c>
      <c r="Y183" s="60"/>
      <c r="Z183" s="33">
        <f t="shared" si="24"/>
        <v>0</v>
      </c>
      <c r="AA183" s="33">
        <f t="shared" si="25"/>
        <v>-1.0000000002037268E-2</v>
      </c>
      <c r="AB183" s="261"/>
      <c r="AC183" s="261"/>
      <c r="AD183" s="261"/>
      <c r="AE183" s="261"/>
      <c r="AF183" s="34" t="s">
        <v>242</v>
      </c>
    </row>
    <row r="184" spans="1:32" ht="15" customHeight="1" x14ac:dyDescent="0.35">
      <c r="A184" s="264"/>
      <c r="B184" s="272"/>
      <c r="C184" s="272"/>
      <c r="D184" s="25" t="s">
        <v>17</v>
      </c>
      <c r="E184" s="50" t="s">
        <v>232</v>
      </c>
      <c r="F184" s="55" t="s">
        <v>36</v>
      </c>
      <c r="G184" s="27" t="s">
        <v>55</v>
      </c>
      <c r="H184" s="27">
        <v>1</v>
      </c>
      <c r="I184" s="45">
        <v>10000</v>
      </c>
      <c r="J184" s="45">
        <v>40000</v>
      </c>
      <c r="K184" s="45">
        <v>0</v>
      </c>
      <c r="L184" s="45">
        <v>25964.400000000001</v>
      </c>
      <c r="M184" s="45"/>
      <c r="N184" s="45">
        <v>123.79</v>
      </c>
      <c r="O184" s="45"/>
      <c r="P184" s="45">
        <v>0</v>
      </c>
      <c r="Q184" s="45"/>
      <c r="R184" s="45">
        <v>13911.809999999998</v>
      </c>
      <c r="S184" s="58">
        <v>13911.81</v>
      </c>
      <c r="T184" s="58"/>
      <c r="U184" s="58"/>
      <c r="V184" s="59"/>
      <c r="W184" s="31">
        <f t="shared" si="23"/>
        <v>40000</v>
      </c>
      <c r="X184" s="60" t="e">
        <f>#REF!-W184</f>
        <v>#REF!</v>
      </c>
      <c r="Y184" s="60"/>
      <c r="Z184" s="33">
        <f t="shared" si="24"/>
        <v>0</v>
      </c>
      <c r="AA184" s="33">
        <f t="shared" si="25"/>
        <v>0</v>
      </c>
      <c r="AB184" s="261"/>
      <c r="AC184" s="261"/>
      <c r="AD184" s="261"/>
      <c r="AE184" s="261"/>
      <c r="AF184" s="34" t="s">
        <v>243</v>
      </c>
    </row>
    <row r="185" spans="1:32" ht="15" customHeight="1" x14ac:dyDescent="0.35">
      <c r="A185" s="264"/>
      <c r="B185" s="272"/>
      <c r="C185" s="272"/>
      <c r="D185" s="25" t="s">
        <v>17</v>
      </c>
      <c r="E185" s="50" t="s">
        <v>232</v>
      </c>
      <c r="F185" s="55" t="s">
        <v>36</v>
      </c>
      <c r="G185" s="27" t="s">
        <v>55</v>
      </c>
      <c r="H185" s="27">
        <v>1</v>
      </c>
      <c r="I185" s="45">
        <v>19000</v>
      </c>
      <c r="J185" s="45">
        <v>19000</v>
      </c>
      <c r="K185" s="45">
        <v>0</v>
      </c>
      <c r="L185" s="45"/>
      <c r="M185" s="45"/>
      <c r="N185" s="45">
        <v>11282.8</v>
      </c>
      <c r="O185" s="45"/>
      <c r="P185" s="45">
        <v>0</v>
      </c>
      <c r="Q185" s="45"/>
      <c r="R185" s="45">
        <v>7717.2000000000007</v>
      </c>
      <c r="S185" s="58">
        <v>7717.2000000000007</v>
      </c>
      <c r="T185" s="58"/>
      <c r="U185" s="58"/>
      <c r="V185" s="59"/>
      <c r="W185" s="31">
        <f t="shared" si="23"/>
        <v>19000</v>
      </c>
      <c r="X185" s="60" t="e">
        <f>#REF!-W185</f>
        <v>#REF!</v>
      </c>
      <c r="Y185" s="60"/>
      <c r="Z185" s="33">
        <f t="shared" si="24"/>
        <v>0</v>
      </c>
      <c r="AA185" s="33">
        <f t="shared" si="25"/>
        <v>0</v>
      </c>
      <c r="AB185" s="261"/>
      <c r="AC185" s="261"/>
      <c r="AD185" s="261"/>
      <c r="AE185" s="261"/>
      <c r="AF185" s="34" t="s">
        <v>244</v>
      </c>
    </row>
    <row r="186" spans="1:32" ht="15" customHeight="1" x14ac:dyDescent="0.35">
      <c r="A186" s="264"/>
      <c r="B186" s="272"/>
      <c r="C186" s="272"/>
      <c r="D186" s="25" t="s">
        <v>17</v>
      </c>
      <c r="E186" s="50" t="s">
        <v>232</v>
      </c>
      <c r="F186" s="55" t="s">
        <v>120</v>
      </c>
      <c r="G186" s="27" t="s">
        <v>86</v>
      </c>
      <c r="H186" s="27">
        <v>1</v>
      </c>
      <c r="I186" s="45">
        <v>9000</v>
      </c>
      <c r="J186" s="45">
        <v>9000</v>
      </c>
      <c r="K186" s="45">
        <v>0</v>
      </c>
      <c r="L186" s="45"/>
      <c r="M186" s="45"/>
      <c r="N186" s="45"/>
      <c r="O186" s="45"/>
      <c r="P186" s="45">
        <v>0</v>
      </c>
      <c r="Q186" s="45"/>
      <c r="R186" s="45">
        <v>9000</v>
      </c>
      <c r="S186" s="58">
        <v>9000</v>
      </c>
      <c r="T186" s="58"/>
      <c r="U186" s="58"/>
      <c r="V186" s="59"/>
      <c r="W186" s="31">
        <f t="shared" si="23"/>
        <v>9000</v>
      </c>
      <c r="X186" s="60" t="e">
        <f>#REF!-W186</f>
        <v>#REF!</v>
      </c>
      <c r="Y186" s="60"/>
      <c r="Z186" s="33">
        <f t="shared" si="24"/>
        <v>0</v>
      </c>
      <c r="AA186" s="33">
        <f t="shared" si="25"/>
        <v>0</v>
      </c>
      <c r="AB186" s="261"/>
      <c r="AC186" s="261"/>
      <c r="AD186" s="261"/>
      <c r="AE186" s="261"/>
      <c r="AF186" s="34" t="s">
        <v>245</v>
      </c>
    </row>
    <row r="187" spans="1:32" ht="15" customHeight="1" x14ac:dyDescent="0.35">
      <c r="A187" s="264"/>
      <c r="B187" s="272"/>
      <c r="C187" s="272"/>
      <c r="D187" s="25" t="s">
        <v>17</v>
      </c>
      <c r="E187" s="50" t="s">
        <v>232</v>
      </c>
      <c r="F187" s="55" t="s">
        <v>120</v>
      </c>
      <c r="G187" s="27" t="s">
        <v>86</v>
      </c>
      <c r="H187" s="27">
        <v>1</v>
      </c>
      <c r="I187" s="45">
        <v>54500</v>
      </c>
      <c r="J187" s="45">
        <v>54500</v>
      </c>
      <c r="K187" s="45">
        <v>0</v>
      </c>
      <c r="L187" s="45"/>
      <c r="M187" s="45"/>
      <c r="N187" s="45"/>
      <c r="O187" s="45"/>
      <c r="P187" s="45">
        <v>0</v>
      </c>
      <c r="Q187" s="45"/>
      <c r="R187" s="45">
        <v>54500</v>
      </c>
      <c r="S187" s="58">
        <v>54500</v>
      </c>
      <c r="T187" s="58"/>
      <c r="U187" s="58"/>
      <c r="V187" s="59"/>
      <c r="W187" s="31">
        <f t="shared" si="23"/>
        <v>54500</v>
      </c>
      <c r="X187" s="60" t="e">
        <f>#REF!-W187</f>
        <v>#REF!</v>
      </c>
      <c r="Y187" s="60"/>
      <c r="Z187" s="33">
        <f t="shared" si="24"/>
        <v>0</v>
      </c>
      <c r="AA187" s="33">
        <f t="shared" si="25"/>
        <v>0</v>
      </c>
      <c r="AB187" s="261"/>
      <c r="AC187" s="261"/>
      <c r="AD187" s="261"/>
      <c r="AE187" s="261"/>
      <c r="AF187" s="34" t="s">
        <v>246</v>
      </c>
    </row>
    <row r="188" spans="1:32" ht="15" customHeight="1" x14ac:dyDescent="0.35">
      <c r="A188" s="264"/>
      <c r="B188" s="272"/>
      <c r="C188" s="272"/>
      <c r="D188" s="25" t="s">
        <v>17</v>
      </c>
      <c r="E188" s="50" t="s">
        <v>232</v>
      </c>
      <c r="F188" s="55" t="s">
        <v>57</v>
      </c>
      <c r="G188" s="27" t="s">
        <v>86</v>
      </c>
      <c r="H188" s="27">
        <v>1</v>
      </c>
      <c r="I188" s="45">
        <v>17000</v>
      </c>
      <c r="J188" s="45">
        <v>17000</v>
      </c>
      <c r="K188" s="45">
        <v>0</v>
      </c>
      <c r="L188" s="45"/>
      <c r="M188" s="45"/>
      <c r="N188" s="45"/>
      <c r="O188" s="45"/>
      <c r="P188" s="45">
        <v>0</v>
      </c>
      <c r="Q188" s="45"/>
      <c r="R188" s="45">
        <v>17000</v>
      </c>
      <c r="S188" s="58">
        <v>17000</v>
      </c>
      <c r="T188" s="58"/>
      <c r="U188" s="58"/>
      <c r="V188" s="59"/>
      <c r="W188" s="31">
        <f t="shared" si="23"/>
        <v>17000</v>
      </c>
      <c r="X188" s="60" t="e">
        <f>#REF!-W188</f>
        <v>#REF!</v>
      </c>
      <c r="Y188" s="60"/>
      <c r="Z188" s="33">
        <f t="shared" si="24"/>
        <v>0</v>
      </c>
      <c r="AA188" s="33">
        <f t="shared" si="25"/>
        <v>0</v>
      </c>
      <c r="AB188" s="261"/>
      <c r="AC188" s="261"/>
      <c r="AD188" s="261"/>
      <c r="AE188" s="261"/>
      <c r="AF188" s="34" t="s">
        <v>247</v>
      </c>
    </row>
    <row r="189" spans="1:32" ht="15" customHeight="1" x14ac:dyDescent="0.35">
      <c r="A189" s="264"/>
      <c r="B189" s="272"/>
      <c r="C189" s="272"/>
      <c r="D189" s="25" t="s">
        <v>17</v>
      </c>
      <c r="E189" s="50" t="s">
        <v>232</v>
      </c>
      <c r="F189" s="55" t="s">
        <v>39</v>
      </c>
      <c r="G189" s="27" t="s">
        <v>40</v>
      </c>
      <c r="H189" s="27">
        <v>1</v>
      </c>
      <c r="I189" s="45">
        <v>11000</v>
      </c>
      <c r="J189" s="45">
        <v>11000</v>
      </c>
      <c r="K189" s="45">
        <v>0</v>
      </c>
      <c r="L189" s="45"/>
      <c r="M189" s="45"/>
      <c r="N189" s="45">
        <v>0</v>
      </c>
      <c r="O189" s="45"/>
      <c r="P189" s="45">
        <v>0</v>
      </c>
      <c r="Q189" s="45"/>
      <c r="R189" s="45">
        <v>11000</v>
      </c>
      <c r="S189" s="58">
        <v>11000</v>
      </c>
      <c r="T189" s="58"/>
      <c r="U189" s="58"/>
      <c r="V189" s="59"/>
      <c r="W189" s="31">
        <f t="shared" si="23"/>
        <v>11000</v>
      </c>
      <c r="X189" s="60" t="e">
        <f>#REF!-W189</f>
        <v>#REF!</v>
      </c>
      <c r="Y189" s="60"/>
      <c r="Z189" s="33">
        <f t="shared" si="24"/>
        <v>0</v>
      </c>
      <c r="AA189" s="33">
        <f t="shared" si="25"/>
        <v>0</v>
      </c>
      <c r="AB189" s="261"/>
      <c r="AC189" s="261"/>
      <c r="AD189" s="261"/>
      <c r="AE189" s="261"/>
      <c r="AF189" s="34" t="s">
        <v>248</v>
      </c>
    </row>
    <row r="190" spans="1:32" ht="15" customHeight="1" x14ac:dyDescent="0.35">
      <c r="A190" s="264"/>
      <c r="B190" s="272"/>
      <c r="C190" s="272"/>
      <c r="D190" s="25" t="s">
        <v>17</v>
      </c>
      <c r="E190" s="50" t="s">
        <v>232</v>
      </c>
      <c r="F190" s="55" t="s">
        <v>69</v>
      </c>
      <c r="G190" s="27" t="s">
        <v>55</v>
      </c>
      <c r="H190" s="27">
        <v>8</v>
      </c>
      <c r="I190" s="45">
        <v>250</v>
      </c>
      <c r="J190" s="45">
        <v>6000</v>
      </c>
      <c r="K190" s="45">
        <v>0</v>
      </c>
      <c r="L190" s="45"/>
      <c r="M190" s="45"/>
      <c r="N190" s="45"/>
      <c r="O190" s="45"/>
      <c r="P190" s="45">
        <v>0</v>
      </c>
      <c r="Q190" s="45"/>
      <c r="R190" s="45">
        <v>6000</v>
      </c>
      <c r="S190" s="58">
        <v>6000</v>
      </c>
      <c r="T190" s="58"/>
      <c r="U190" s="58"/>
      <c r="V190" s="59"/>
      <c r="W190" s="31">
        <f t="shared" si="23"/>
        <v>6000</v>
      </c>
      <c r="X190" s="60" t="e">
        <f>#REF!-W190</f>
        <v>#REF!</v>
      </c>
      <c r="Y190" s="60"/>
      <c r="Z190" s="33">
        <f t="shared" si="24"/>
        <v>0</v>
      </c>
      <c r="AA190" s="33">
        <f t="shared" si="25"/>
        <v>0</v>
      </c>
      <c r="AB190" s="261"/>
      <c r="AC190" s="261"/>
      <c r="AD190" s="261"/>
      <c r="AE190" s="261"/>
      <c r="AF190" s="34" t="s">
        <v>249</v>
      </c>
    </row>
    <row r="191" spans="1:32" ht="15" customHeight="1" x14ac:dyDescent="0.35">
      <c r="A191" s="264"/>
      <c r="B191" s="272"/>
      <c r="C191" s="272"/>
      <c r="D191" s="25" t="s">
        <v>17</v>
      </c>
      <c r="E191" s="50" t="s">
        <v>232</v>
      </c>
      <c r="F191" s="55" t="s">
        <v>39</v>
      </c>
      <c r="G191" s="27" t="s">
        <v>40</v>
      </c>
      <c r="H191" s="27">
        <v>1</v>
      </c>
      <c r="I191" s="45">
        <v>11600</v>
      </c>
      <c r="J191" s="45">
        <v>11600</v>
      </c>
      <c r="K191" s="45">
        <v>0</v>
      </c>
      <c r="L191" s="45"/>
      <c r="M191" s="45"/>
      <c r="N191" s="45">
        <v>1005.02</v>
      </c>
      <c r="O191" s="45"/>
      <c r="P191" s="45">
        <v>0</v>
      </c>
      <c r="Q191" s="45"/>
      <c r="R191" s="45">
        <v>10594.98</v>
      </c>
      <c r="S191" s="58">
        <v>10594.98</v>
      </c>
      <c r="T191" s="58"/>
      <c r="U191" s="58"/>
      <c r="V191" s="59"/>
      <c r="W191" s="31">
        <f t="shared" si="23"/>
        <v>11600</v>
      </c>
      <c r="X191" s="60" t="e">
        <f>#REF!-W191</f>
        <v>#REF!</v>
      </c>
      <c r="Y191" s="60"/>
      <c r="Z191" s="33">
        <f t="shared" si="24"/>
        <v>0</v>
      </c>
      <c r="AA191" s="33">
        <f t="shared" si="25"/>
        <v>0</v>
      </c>
      <c r="AB191" s="261"/>
      <c r="AC191" s="261"/>
      <c r="AD191" s="261"/>
      <c r="AE191" s="261"/>
      <c r="AF191" s="34" t="s">
        <v>250</v>
      </c>
    </row>
    <row r="192" spans="1:32" ht="15" customHeight="1" x14ac:dyDescent="0.35">
      <c r="A192" s="264"/>
      <c r="B192" s="272"/>
      <c r="C192" s="272"/>
      <c r="D192" s="25" t="s">
        <v>17</v>
      </c>
      <c r="E192" s="50" t="s">
        <v>232</v>
      </c>
      <c r="F192" s="55" t="s">
        <v>36</v>
      </c>
      <c r="G192" s="27" t="s">
        <v>55</v>
      </c>
      <c r="H192" s="27">
        <v>1</v>
      </c>
      <c r="I192" s="45">
        <v>23750</v>
      </c>
      <c r="J192" s="45">
        <v>23750</v>
      </c>
      <c r="K192" s="45">
        <v>0</v>
      </c>
      <c r="L192" s="45"/>
      <c r="M192" s="45"/>
      <c r="N192" s="45"/>
      <c r="O192" s="45"/>
      <c r="P192" s="45">
        <v>0</v>
      </c>
      <c r="Q192" s="45"/>
      <c r="R192" s="45">
        <v>23750</v>
      </c>
      <c r="S192" s="58">
        <v>23750</v>
      </c>
      <c r="T192" s="58"/>
      <c r="U192" s="58"/>
      <c r="V192" s="59"/>
      <c r="W192" s="31">
        <f t="shared" si="23"/>
        <v>23750</v>
      </c>
      <c r="X192" s="60" t="e">
        <f>#REF!-W192</f>
        <v>#REF!</v>
      </c>
      <c r="Y192" s="60"/>
      <c r="Z192" s="33">
        <f t="shared" si="24"/>
        <v>0</v>
      </c>
      <c r="AA192" s="33">
        <f t="shared" si="25"/>
        <v>0</v>
      </c>
      <c r="AB192" s="261"/>
      <c r="AC192" s="261"/>
      <c r="AD192" s="261"/>
      <c r="AE192" s="261"/>
      <c r="AF192" s="34" t="s">
        <v>251</v>
      </c>
    </row>
    <row r="193" spans="1:32" ht="15" customHeight="1" x14ac:dyDescent="0.35">
      <c r="A193" s="264"/>
      <c r="B193" s="272"/>
      <c r="C193" s="272"/>
      <c r="D193" s="25" t="s">
        <v>17</v>
      </c>
      <c r="E193" s="50" t="s">
        <v>232</v>
      </c>
      <c r="F193" s="55" t="s">
        <v>69</v>
      </c>
      <c r="G193" s="27" t="s">
        <v>55</v>
      </c>
      <c r="H193" s="27">
        <v>1</v>
      </c>
      <c r="I193" s="45">
        <v>1800</v>
      </c>
      <c r="J193" s="45">
        <v>1800</v>
      </c>
      <c r="K193" s="45">
        <v>0</v>
      </c>
      <c r="L193" s="45"/>
      <c r="M193" s="45"/>
      <c r="N193" s="45"/>
      <c r="O193" s="45"/>
      <c r="P193" s="45">
        <v>0</v>
      </c>
      <c r="Q193" s="45"/>
      <c r="R193" s="45">
        <v>1800</v>
      </c>
      <c r="S193" s="58">
        <v>1800</v>
      </c>
      <c r="T193" s="58"/>
      <c r="U193" s="58"/>
      <c r="V193" s="59"/>
      <c r="W193" s="31">
        <f t="shared" si="23"/>
        <v>1800</v>
      </c>
      <c r="X193" s="60" t="e">
        <f>#REF!-W193</f>
        <v>#REF!</v>
      </c>
      <c r="Y193" s="60"/>
      <c r="Z193" s="33">
        <f t="shared" si="24"/>
        <v>0</v>
      </c>
      <c r="AA193" s="33">
        <f t="shared" si="25"/>
        <v>0</v>
      </c>
      <c r="AB193" s="261"/>
      <c r="AC193" s="261"/>
      <c r="AD193" s="261"/>
      <c r="AE193" s="261"/>
      <c r="AF193" s="34" t="s">
        <v>252</v>
      </c>
    </row>
    <row r="194" spans="1:32" ht="15" customHeight="1" x14ac:dyDescent="0.35">
      <c r="A194" s="264"/>
      <c r="B194" s="272"/>
      <c r="C194" s="272"/>
      <c r="D194" s="25" t="s">
        <v>17</v>
      </c>
      <c r="E194" s="50" t="s">
        <v>232</v>
      </c>
      <c r="F194" s="55" t="s">
        <v>118</v>
      </c>
      <c r="G194" s="27" t="s">
        <v>86</v>
      </c>
      <c r="H194" s="27">
        <v>3</v>
      </c>
      <c r="I194" s="45">
        <v>10000</v>
      </c>
      <c r="J194" s="45">
        <v>30000</v>
      </c>
      <c r="K194" s="45">
        <v>0</v>
      </c>
      <c r="L194" s="45"/>
      <c r="M194" s="45"/>
      <c r="N194" s="45"/>
      <c r="O194" s="45"/>
      <c r="P194" s="45">
        <v>0</v>
      </c>
      <c r="Q194" s="45"/>
      <c r="R194" s="45">
        <v>30000</v>
      </c>
      <c r="S194" s="58">
        <v>30000</v>
      </c>
      <c r="T194" s="58"/>
      <c r="U194" s="58"/>
      <c r="V194" s="59"/>
      <c r="W194" s="31">
        <f t="shared" si="23"/>
        <v>30000</v>
      </c>
      <c r="X194" s="60" t="e">
        <f>#REF!-W194</f>
        <v>#REF!</v>
      </c>
      <c r="Y194" s="60"/>
      <c r="Z194" s="33">
        <f t="shared" si="24"/>
        <v>0</v>
      </c>
      <c r="AA194" s="33">
        <f t="shared" si="25"/>
        <v>0</v>
      </c>
      <c r="AB194" s="262"/>
      <c r="AC194" s="262"/>
      <c r="AD194" s="261"/>
      <c r="AE194" s="261"/>
      <c r="AF194" s="34" t="s">
        <v>253</v>
      </c>
    </row>
    <row r="195" spans="1:32" ht="15" customHeight="1" x14ac:dyDescent="0.35">
      <c r="A195" s="264"/>
      <c r="B195" s="272"/>
      <c r="C195" s="39"/>
      <c r="D195" s="39"/>
      <c r="E195" s="53"/>
      <c r="F195" s="57"/>
      <c r="G195" s="41"/>
      <c r="H195" s="41"/>
      <c r="I195" s="54"/>
      <c r="J195" s="54">
        <f>SUM(J179:J194)</f>
        <v>387450</v>
      </c>
      <c r="K195" s="54">
        <f t="shared" ref="K195:AC195" si="33">SUM(K179:K194)</f>
        <v>0</v>
      </c>
      <c r="L195" s="54">
        <f t="shared" si="33"/>
        <v>46331.98</v>
      </c>
      <c r="M195" s="54">
        <f t="shared" si="33"/>
        <v>0</v>
      </c>
      <c r="N195" s="54">
        <f t="shared" si="33"/>
        <v>21966.91</v>
      </c>
      <c r="O195" s="54">
        <f t="shared" si="33"/>
        <v>0</v>
      </c>
      <c r="P195" s="54">
        <f t="shared" si="33"/>
        <v>15858.8855678451</v>
      </c>
      <c r="Q195" s="54">
        <f t="shared" si="33"/>
        <v>0</v>
      </c>
      <c r="R195" s="54">
        <f t="shared" si="33"/>
        <v>303292.22443215491</v>
      </c>
      <c r="S195" s="54">
        <f t="shared" si="33"/>
        <v>303292.23</v>
      </c>
      <c r="T195" s="54">
        <f t="shared" si="33"/>
        <v>0</v>
      </c>
      <c r="U195" s="54">
        <f t="shared" si="33"/>
        <v>0</v>
      </c>
      <c r="V195" s="54">
        <f t="shared" si="33"/>
        <v>0</v>
      </c>
      <c r="W195" s="54">
        <f t="shared" si="33"/>
        <v>387450.00556784507</v>
      </c>
      <c r="X195" s="54" t="e">
        <f t="shared" si="33"/>
        <v>#REF!</v>
      </c>
      <c r="Y195" s="54">
        <f t="shared" si="33"/>
        <v>0</v>
      </c>
      <c r="Z195" s="54">
        <f t="shared" si="33"/>
        <v>0</v>
      </c>
      <c r="AA195" s="54">
        <f t="shared" si="33"/>
        <v>-5.5678450953564607E-3</v>
      </c>
      <c r="AB195" s="54">
        <f t="shared" si="33"/>
        <v>387450.00556784507</v>
      </c>
      <c r="AC195" s="54">
        <f t="shared" si="33"/>
        <v>0</v>
      </c>
      <c r="AD195" s="261"/>
      <c r="AE195" s="261"/>
      <c r="AF195" s="49"/>
    </row>
    <row r="196" spans="1:32" ht="15" customHeight="1" x14ac:dyDescent="0.35">
      <c r="A196" s="264"/>
      <c r="B196" s="272"/>
      <c r="C196" s="272" t="s">
        <v>254</v>
      </c>
      <c r="D196" s="25" t="s">
        <v>17</v>
      </c>
      <c r="E196" s="50" t="s">
        <v>232</v>
      </c>
      <c r="F196" s="55" t="s">
        <v>39</v>
      </c>
      <c r="G196" s="27" t="s">
        <v>40</v>
      </c>
      <c r="H196" s="27">
        <v>1</v>
      </c>
      <c r="I196" s="45">
        <v>11600</v>
      </c>
      <c r="J196" s="45">
        <v>11600</v>
      </c>
      <c r="K196" s="45">
        <v>0</v>
      </c>
      <c r="L196" s="45"/>
      <c r="M196" s="45"/>
      <c r="N196" s="45"/>
      <c r="O196" s="45"/>
      <c r="P196" s="45">
        <v>0</v>
      </c>
      <c r="Q196" s="45"/>
      <c r="R196" s="45">
        <v>11600</v>
      </c>
      <c r="S196" s="58">
        <v>11600</v>
      </c>
      <c r="T196" s="58"/>
      <c r="U196" s="58">
        <v>0</v>
      </c>
      <c r="V196" s="59"/>
      <c r="W196" s="31">
        <f t="shared" si="23"/>
        <v>11600</v>
      </c>
      <c r="X196" s="60" t="e">
        <f>#REF!-W196</f>
        <v>#REF!</v>
      </c>
      <c r="Y196" s="60"/>
      <c r="Z196" s="33">
        <f t="shared" si="24"/>
        <v>0</v>
      </c>
      <c r="AA196" s="33">
        <f t="shared" si="25"/>
        <v>0</v>
      </c>
      <c r="AB196" s="260">
        <f>SUM(W196:W205)</f>
        <v>196550</v>
      </c>
      <c r="AC196" s="260">
        <f>SUM(Z196:Z205)</f>
        <v>0</v>
      </c>
      <c r="AD196" s="261"/>
      <c r="AE196" s="261"/>
      <c r="AF196" s="34" t="s">
        <v>255</v>
      </c>
    </row>
    <row r="197" spans="1:32" ht="15" customHeight="1" x14ac:dyDescent="0.35">
      <c r="A197" s="264"/>
      <c r="B197" s="272"/>
      <c r="C197" s="272"/>
      <c r="D197" s="25" t="s">
        <v>17</v>
      </c>
      <c r="E197" s="50" t="s">
        <v>232</v>
      </c>
      <c r="F197" s="55" t="s">
        <v>36</v>
      </c>
      <c r="G197" s="27" t="s">
        <v>55</v>
      </c>
      <c r="H197" s="27">
        <v>1</v>
      </c>
      <c r="I197" s="45">
        <v>9500</v>
      </c>
      <c r="J197" s="45">
        <v>9500</v>
      </c>
      <c r="K197" s="45">
        <v>0</v>
      </c>
      <c r="L197" s="45"/>
      <c r="M197" s="45"/>
      <c r="N197" s="45"/>
      <c r="O197" s="45"/>
      <c r="P197" s="45">
        <v>0</v>
      </c>
      <c r="Q197" s="45"/>
      <c r="R197" s="45">
        <v>9500</v>
      </c>
      <c r="S197" s="58">
        <v>9500</v>
      </c>
      <c r="T197" s="58"/>
      <c r="U197" s="58">
        <v>0</v>
      </c>
      <c r="V197" s="59"/>
      <c r="W197" s="31">
        <f t="shared" si="23"/>
        <v>9500</v>
      </c>
      <c r="X197" s="60" t="e">
        <f>#REF!-W197</f>
        <v>#REF!</v>
      </c>
      <c r="Y197" s="60"/>
      <c r="Z197" s="33">
        <f t="shared" si="24"/>
        <v>0</v>
      </c>
      <c r="AA197" s="33">
        <f t="shared" si="25"/>
        <v>0</v>
      </c>
      <c r="AB197" s="261"/>
      <c r="AC197" s="261"/>
      <c r="AD197" s="261"/>
      <c r="AE197" s="261"/>
      <c r="AF197" s="34" t="s">
        <v>256</v>
      </c>
    </row>
    <row r="198" spans="1:32" ht="15" customHeight="1" x14ac:dyDescent="0.35">
      <c r="A198" s="264"/>
      <c r="B198" s="272"/>
      <c r="C198" s="272"/>
      <c r="D198" s="25" t="s">
        <v>17</v>
      </c>
      <c r="E198" s="50" t="s">
        <v>232</v>
      </c>
      <c r="F198" s="55" t="s">
        <v>130</v>
      </c>
      <c r="G198" s="27" t="s">
        <v>257</v>
      </c>
      <c r="H198" s="27">
        <v>5</v>
      </c>
      <c r="I198" s="45">
        <v>1000</v>
      </c>
      <c r="J198" s="45">
        <v>5000</v>
      </c>
      <c r="K198" s="45">
        <v>0</v>
      </c>
      <c r="L198" s="45"/>
      <c r="M198" s="45"/>
      <c r="N198" s="45"/>
      <c r="O198" s="45"/>
      <c r="P198" s="45">
        <v>0</v>
      </c>
      <c r="Q198" s="45"/>
      <c r="R198" s="45">
        <v>5000</v>
      </c>
      <c r="S198" s="58">
        <v>5000</v>
      </c>
      <c r="T198" s="58"/>
      <c r="U198" s="58">
        <v>0</v>
      </c>
      <c r="V198" s="59"/>
      <c r="W198" s="31">
        <f t="shared" si="23"/>
        <v>5000</v>
      </c>
      <c r="X198" s="60" t="e">
        <f>#REF!-W198</f>
        <v>#REF!</v>
      </c>
      <c r="Y198" s="60"/>
      <c r="Z198" s="33">
        <f t="shared" si="24"/>
        <v>0</v>
      </c>
      <c r="AA198" s="33">
        <f t="shared" si="25"/>
        <v>0</v>
      </c>
      <c r="AB198" s="261"/>
      <c r="AC198" s="261"/>
      <c r="AD198" s="261"/>
      <c r="AE198" s="261"/>
      <c r="AF198" s="34" t="s">
        <v>258</v>
      </c>
    </row>
    <row r="199" spans="1:32" ht="15" customHeight="1" x14ac:dyDescent="0.35">
      <c r="A199" s="264"/>
      <c r="B199" s="272"/>
      <c r="C199" s="272"/>
      <c r="D199" s="25" t="s">
        <v>17</v>
      </c>
      <c r="E199" s="50" t="s">
        <v>232</v>
      </c>
      <c r="F199" s="55" t="s">
        <v>36</v>
      </c>
      <c r="G199" s="27" t="s">
        <v>55</v>
      </c>
      <c r="H199" s="27">
        <v>1</v>
      </c>
      <c r="I199" s="45">
        <v>9500</v>
      </c>
      <c r="J199" s="45">
        <v>9500</v>
      </c>
      <c r="K199" s="45">
        <v>0</v>
      </c>
      <c r="L199" s="45"/>
      <c r="M199" s="45"/>
      <c r="N199" s="45"/>
      <c r="O199" s="45"/>
      <c r="P199" s="45">
        <v>0</v>
      </c>
      <c r="Q199" s="45"/>
      <c r="R199" s="45">
        <v>9500</v>
      </c>
      <c r="S199" s="58">
        <v>9500</v>
      </c>
      <c r="T199" s="58"/>
      <c r="U199" s="58">
        <v>0</v>
      </c>
      <c r="V199" s="59"/>
      <c r="W199" s="31">
        <f t="shared" si="23"/>
        <v>9500</v>
      </c>
      <c r="X199" s="60" t="e">
        <f>#REF!-W199</f>
        <v>#REF!</v>
      </c>
      <c r="Y199" s="60"/>
      <c r="Z199" s="33">
        <f t="shared" si="24"/>
        <v>0</v>
      </c>
      <c r="AA199" s="33">
        <f t="shared" si="25"/>
        <v>0</v>
      </c>
      <c r="AB199" s="261"/>
      <c r="AC199" s="261"/>
      <c r="AD199" s="261"/>
      <c r="AE199" s="261"/>
      <c r="AF199" s="34" t="s">
        <v>259</v>
      </c>
    </row>
    <row r="200" spans="1:32" ht="15" customHeight="1" x14ac:dyDescent="0.35">
      <c r="A200" s="264"/>
      <c r="B200" s="272"/>
      <c r="C200" s="272"/>
      <c r="D200" s="25" t="s">
        <v>17</v>
      </c>
      <c r="E200" s="50" t="s">
        <v>232</v>
      </c>
      <c r="F200" s="55" t="s">
        <v>69</v>
      </c>
      <c r="G200" s="27" t="s">
        <v>55</v>
      </c>
      <c r="H200" s="27">
        <v>4</v>
      </c>
      <c r="I200" s="45">
        <v>900</v>
      </c>
      <c r="J200" s="45">
        <v>7200</v>
      </c>
      <c r="K200" s="45">
        <v>0</v>
      </c>
      <c r="L200" s="45"/>
      <c r="M200" s="45"/>
      <c r="N200" s="45"/>
      <c r="O200" s="45"/>
      <c r="P200" s="45">
        <v>0</v>
      </c>
      <c r="Q200" s="45"/>
      <c r="R200" s="45">
        <v>7200</v>
      </c>
      <c r="S200" s="58">
        <v>7200</v>
      </c>
      <c r="T200" s="58"/>
      <c r="U200" s="58">
        <v>0</v>
      </c>
      <c r="V200" s="59"/>
      <c r="W200" s="31">
        <f t="shared" si="23"/>
        <v>7200</v>
      </c>
      <c r="X200" s="60" t="e">
        <f>#REF!-W200</f>
        <v>#REF!</v>
      </c>
      <c r="Y200" s="60"/>
      <c r="Z200" s="33">
        <f t="shared" si="24"/>
        <v>0</v>
      </c>
      <c r="AA200" s="33">
        <f t="shared" si="25"/>
        <v>0</v>
      </c>
      <c r="AB200" s="261"/>
      <c r="AC200" s="261"/>
      <c r="AD200" s="261"/>
      <c r="AE200" s="261"/>
      <c r="AF200" s="34" t="s">
        <v>260</v>
      </c>
    </row>
    <row r="201" spans="1:32" ht="15" customHeight="1" x14ac:dyDescent="0.35">
      <c r="A201" s="264"/>
      <c r="B201" s="272"/>
      <c r="C201" s="272"/>
      <c r="D201" s="25" t="s">
        <v>17</v>
      </c>
      <c r="E201" s="50" t="s">
        <v>232</v>
      </c>
      <c r="F201" s="55" t="s">
        <v>39</v>
      </c>
      <c r="G201" s="27" t="s">
        <v>40</v>
      </c>
      <c r="H201" s="27">
        <v>1</v>
      </c>
      <c r="I201" s="45">
        <v>4500</v>
      </c>
      <c r="J201" s="45">
        <v>4500</v>
      </c>
      <c r="K201" s="45">
        <v>0</v>
      </c>
      <c r="L201" s="45"/>
      <c r="M201" s="45"/>
      <c r="N201" s="45"/>
      <c r="O201" s="45"/>
      <c r="P201" s="45">
        <v>0</v>
      </c>
      <c r="Q201" s="45"/>
      <c r="R201" s="45">
        <v>4500</v>
      </c>
      <c r="S201" s="58">
        <v>4500</v>
      </c>
      <c r="T201" s="58"/>
      <c r="U201" s="58">
        <v>0</v>
      </c>
      <c r="V201" s="59"/>
      <c r="W201" s="31">
        <f t="shared" si="23"/>
        <v>4500</v>
      </c>
      <c r="X201" s="60" t="e">
        <f>#REF!-W201</f>
        <v>#REF!</v>
      </c>
      <c r="Y201" s="60"/>
      <c r="Z201" s="33">
        <f t="shared" si="24"/>
        <v>0</v>
      </c>
      <c r="AA201" s="33">
        <f t="shared" si="25"/>
        <v>0</v>
      </c>
      <c r="AB201" s="261"/>
      <c r="AC201" s="261"/>
      <c r="AD201" s="261"/>
      <c r="AE201" s="261"/>
      <c r="AF201" s="34" t="s">
        <v>261</v>
      </c>
    </row>
    <row r="202" spans="1:32" ht="15" customHeight="1" x14ac:dyDescent="0.35">
      <c r="A202" s="264"/>
      <c r="B202" s="272"/>
      <c r="C202" s="272"/>
      <c r="D202" s="25" t="s">
        <v>17</v>
      </c>
      <c r="E202" s="50" t="s">
        <v>232</v>
      </c>
      <c r="F202" s="55" t="s">
        <v>36</v>
      </c>
      <c r="G202" s="27" t="s">
        <v>37</v>
      </c>
      <c r="H202" s="27">
        <v>1</v>
      </c>
      <c r="I202" s="45">
        <v>14250</v>
      </c>
      <c r="J202" s="45">
        <v>14250</v>
      </c>
      <c r="K202" s="45">
        <v>0</v>
      </c>
      <c r="L202" s="45"/>
      <c r="M202" s="45"/>
      <c r="N202" s="45"/>
      <c r="O202" s="45"/>
      <c r="P202" s="45">
        <v>0</v>
      </c>
      <c r="Q202" s="45"/>
      <c r="R202" s="45">
        <v>14250</v>
      </c>
      <c r="S202" s="58">
        <v>14250</v>
      </c>
      <c r="T202" s="58"/>
      <c r="U202" s="58">
        <v>0</v>
      </c>
      <c r="V202" s="59"/>
      <c r="W202" s="31">
        <f t="shared" si="23"/>
        <v>14250</v>
      </c>
      <c r="X202" s="60" t="e">
        <f>#REF!-W202</f>
        <v>#REF!</v>
      </c>
      <c r="Y202" s="60"/>
      <c r="Z202" s="33">
        <f t="shared" si="24"/>
        <v>0</v>
      </c>
      <c r="AA202" s="33">
        <f t="shared" si="25"/>
        <v>0</v>
      </c>
      <c r="AB202" s="261"/>
      <c r="AC202" s="261"/>
      <c r="AD202" s="261"/>
      <c r="AE202" s="261"/>
      <c r="AF202" s="34" t="s">
        <v>262</v>
      </c>
    </row>
    <row r="203" spans="1:32" ht="15" customHeight="1" x14ac:dyDescent="0.35">
      <c r="A203" s="264"/>
      <c r="B203" s="272"/>
      <c r="C203" s="272"/>
      <c r="D203" s="25" t="s">
        <v>17</v>
      </c>
      <c r="E203" s="50" t="s">
        <v>232</v>
      </c>
      <c r="F203" s="55" t="s">
        <v>53</v>
      </c>
      <c r="G203" s="27" t="s">
        <v>263</v>
      </c>
      <c r="H203" s="27">
        <v>1</v>
      </c>
      <c r="I203" s="45">
        <v>58200</v>
      </c>
      <c r="J203" s="45">
        <v>58200</v>
      </c>
      <c r="K203" s="45">
        <v>0</v>
      </c>
      <c r="L203" s="45"/>
      <c r="M203" s="45"/>
      <c r="N203" s="45"/>
      <c r="O203" s="45"/>
      <c r="P203" s="45">
        <v>0</v>
      </c>
      <c r="Q203" s="45"/>
      <c r="R203" s="45">
        <v>58200</v>
      </c>
      <c r="S203" s="58">
        <v>58200</v>
      </c>
      <c r="T203" s="58"/>
      <c r="U203" s="58">
        <v>0</v>
      </c>
      <c r="V203" s="59"/>
      <c r="W203" s="31">
        <f t="shared" ref="W203:W266" si="34">L203+N203+P203+S203+U203</f>
        <v>58200</v>
      </c>
      <c r="X203" s="60" t="e">
        <f>#REF!-W203</f>
        <v>#REF!</v>
      </c>
      <c r="Y203" s="60"/>
      <c r="Z203" s="33">
        <f t="shared" ref="Z203:Z266" si="35">M203+O203+Q203+T203+V203</f>
        <v>0</v>
      </c>
      <c r="AA203" s="33">
        <f t="shared" ref="AA203:AA266" si="36">J203-W203</f>
        <v>0</v>
      </c>
      <c r="AB203" s="261"/>
      <c r="AC203" s="261"/>
      <c r="AD203" s="261"/>
      <c r="AE203" s="261"/>
      <c r="AF203" s="34" t="s">
        <v>264</v>
      </c>
    </row>
    <row r="204" spans="1:32" ht="15" customHeight="1" x14ac:dyDescent="0.35">
      <c r="A204" s="264"/>
      <c r="B204" s="272"/>
      <c r="C204" s="272"/>
      <c r="D204" s="25" t="s">
        <v>17</v>
      </c>
      <c r="E204" s="50" t="s">
        <v>232</v>
      </c>
      <c r="F204" s="55" t="s">
        <v>36</v>
      </c>
      <c r="G204" s="27" t="s">
        <v>55</v>
      </c>
      <c r="H204" s="27">
        <v>3</v>
      </c>
      <c r="I204" s="45">
        <v>22000</v>
      </c>
      <c r="J204" s="45">
        <v>66000</v>
      </c>
      <c r="K204" s="45">
        <v>0</v>
      </c>
      <c r="L204" s="45"/>
      <c r="M204" s="45"/>
      <c r="N204" s="45"/>
      <c r="O204" s="45"/>
      <c r="P204" s="45">
        <v>0</v>
      </c>
      <c r="Q204" s="45"/>
      <c r="R204" s="45">
        <v>66000</v>
      </c>
      <c r="S204" s="58">
        <v>66000</v>
      </c>
      <c r="T204" s="58"/>
      <c r="U204" s="58">
        <v>0</v>
      </c>
      <c r="V204" s="59"/>
      <c r="W204" s="31">
        <f t="shared" si="34"/>
        <v>66000</v>
      </c>
      <c r="X204" s="60" t="e">
        <f>#REF!-W204</f>
        <v>#REF!</v>
      </c>
      <c r="Y204" s="60"/>
      <c r="Z204" s="33">
        <f t="shared" si="35"/>
        <v>0</v>
      </c>
      <c r="AA204" s="33">
        <f t="shared" si="36"/>
        <v>0</v>
      </c>
      <c r="AB204" s="261"/>
      <c r="AC204" s="261"/>
      <c r="AD204" s="261"/>
      <c r="AE204" s="261"/>
      <c r="AF204" s="34" t="s">
        <v>265</v>
      </c>
    </row>
    <row r="205" spans="1:32" ht="15" customHeight="1" x14ac:dyDescent="0.35">
      <c r="A205" s="264"/>
      <c r="B205" s="272"/>
      <c r="C205" s="272"/>
      <c r="D205" s="25" t="s">
        <v>17</v>
      </c>
      <c r="E205" s="50" t="s">
        <v>232</v>
      </c>
      <c r="F205" s="55" t="s">
        <v>69</v>
      </c>
      <c r="G205" s="27" t="s">
        <v>55</v>
      </c>
      <c r="H205" s="27">
        <v>3</v>
      </c>
      <c r="I205" s="45">
        <v>3600</v>
      </c>
      <c r="J205" s="45">
        <v>10800</v>
      </c>
      <c r="K205" s="45">
        <v>0</v>
      </c>
      <c r="L205" s="45"/>
      <c r="M205" s="45"/>
      <c r="N205" s="45"/>
      <c r="O205" s="45"/>
      <c r="P205" s="45">
        <v>0</v>
      </c>
      <c r="Q205" s="45"/>
      <c r="R205" s="45">
        <v>10800</v>
      </c>
      <c r="S205" s="58">
        <v>10800</v>
      </c>
      <c r="T205" s="58"/>
      <c r="U205" s="58">
        <v>0</v>
      </c>
      <c r="V205" s="59"/>
      <c r="W205" s="31">
        <f t="shared" si="34"/>
        <v>10800</v>
      </c>
      <c r="X205" s="60" t="e">
        <f>#REF!-W205</f>
        <v>#REF!</v>
      </c>
      <c r="Y205" s="60"/>
      <c r="Z205" s="33">
        <f t="shared" si="35"/>
        <v>0</v>
      </c>
      <c r="AA205" s="33">
        <f t="shared" si="36"/>
        <v>0</v>
      </c>
      <c r="AB205" s="262"/>
      <c r="AC205" s="262"/>
      <c r="AD205" s="261"/>
      <c r="AE205" s="261"/>
      <c r="AF205" s="34" t="s">
        <v>266</v>
      </c>
    </row>
    <row r="206" spans="1:32" ht="15" customHeight="1" x14ac:dyDescent="0.35">
      <c r="A206" s="264"/>
      <c r="B206" s="272"/>
      <c r="C206" s="39"/>
      <c r="D206" s="39"/>
      <c r="E206" s="53"/>
      <c r="F206" s="57"/>
      <c r="G206" s="41"/>
      <c r="H206" s="41"/>
      <c r="I206" s="54"/>
      <c r="J206" s="54">
        <f>SUM(J196:J205)</f>
        <v>196550</v>
      </c>
      <c r="K206" s="54">
        <f t="shared" ref="K206:AC206" si="37">SUM(K196:K205)</f>
        <v>0</v>
      </c>
      <c r="L206" s="54">
        <f t="shared" si="37"/>
        <v>0</v>
      </c>
      <c r="M206" s="54">
        <f t="shared" si="37"/>
        <v>0</v>
      </c>
      <c r="N206" s="54">
        <f t="shared" si="37"/>
        <v>0</v>
      </c>
      <c r="O206" s="54">
        <f t="shared" si="37"/>
        <v>0</v>
      </c>
      <c r="P206" s="54">
        <f t="shared" si="37"/>
        <v>0</v>
      </c>
      <c r="Q206" s="54">
        <f t="shared" si="37"/>
        <v>0</v>
      </c>
      <c r="R206" s="54">
        <f t="shared" si="37"/>
        <v>196550</v>
      </c>
      <c r="S206" s="54">
        <f t="shared" si="37"/>
        <v>196550</v>
      </c>
      <c r="T206" s="54">
        <f t="shared" si="37"/>
        <v>0</v>
      </c>
      <c r="U206" s="54">
        <f t="shared" si="37"/>
        <v>0</v>
      </c>
      <c r="V206" s="54">
        <f t="shared" si="37"/>
        <v>0</v>
      </c>
      <c r="W206" s="54">
        <f t="shared" si="37"/>
        <v>196550</v>
      </c>
      <c r="X206" s="54" t="e">
        <f t="shared" si="37"/>
        <v>#REF!</v>
      </c>
      <c r="Y206" s="54">
        <f t="shared" si="37"/>
        <v>0</v>
      </c>
      <c r="Z206" s="54">
        <f t="shared" si="37"/>
        <v>0</v>
      </c>
      <c r="AA206" s="54">
        <f t="shared" si="37"/>
        <v>0</v>
      </c>
      <c r="AB206" s="54">
        <f t="shared" si="37"/>
        <v>196550</v>
      </c>
      <c r="AC206" s="54">
        <f t="shared" si="37"/>
        <v>0</v>
      </c>
      <c r="AD206" s="261"/>
      <c r="AE206" s="261"/>
      <c r="AF206" s="49"/>
    </row>
    <row r="207" spans="1:32" ht="15" customHeight="1" x14ac:dyDescent="0.35">
      <c r="A207" s="264"/>
      <c r="B207" s="272"/>
      <c r="C207" s="272" t="s">
        <v>267</v>
      </c>
      <c r="D207" s="25" t="s">
        <v>17</v>
      </c>
      <c r="E207" s="50" t="s">
        <v>232</v>
      </c>
      <c r="F207" s="55" t="s">
        <v>118</v>
      </c>
      <c r="G207" s="27" t="s">
        <v>86</v>
      </c>
      <c r="H207" s="27">
        <v>1</v>
      </c>
      <c r="I207" s="35">
        <v>38880</v>
      </c>
      <c r="J207" s="35">
        <v>38880</v>
      </c>
      <c r="K207" s="35">
        <v>0</v>
      </c>
      <c r="L207" s="35">
        <v>38880</v>
      </c>
      <c r="M207" s="35"/>
      <c r="N207" s="35"/>
      <c r="O207" s="35"/>
      <c r="P207" s="35">
        <v>0</v>
      </c>
      <c r="Q207" s="35">
        <v>0</v>
      </c>
      <c r="R207" s="35">
        <v>0</v>
      </c>
      <c r="S207" s="58">
        <v>0</v>
      </c>
      <c r="T207" s="58"/>
      <c r="U207" s="58">
        <v>0</v>
      </c>
      <c r="V207" s="59"/>
      <c r="W207" s="31">
        <f t="shared" si="34"/>
        <v>38880</v>
      </c>
      <c r="X207" s="60" t="e">
        <f>#REF!-W207</f>
        <v>#REF!</v>
      </c>
      <c r="Y207" s="60"/>
      <c r="Z207" s="33">
        <f t="shared" si="35"/>
        <v>0</v>
      </c>
      <c r="AA207" s="33">
        <f t="shared" si="36"/>
        <v>0</v>
      </c>
      <c r="AB207" s="260">
        <f>SUM(W207:W213)</f>
        <v>233110</v>
      </c>
      <c r="AC207" s="260">
        <f>SUM(Z207:Z214)</f>
        <v>894379.09999999986</v>
      </c>
      <c r="AD207" s="261"/>
      <c r="AE207" s="261"/>
      <c r="AF207" s="34" t="s">
        <v>268</v>
      </c>
    </row>
    <row r="208" spans="1:32" ht="15" customHeight="1" x14ac:dyDescent="0.35">
      <c r="A208" s="264"/>
      <c r="B208" s="272"/>
      <c r="C208" s="272"/>
      <c r="D208" s="25" t="s">
        <v>17</v>
      </c>
      <c r="E208" s="50" t="s">
        <v>232</v>
      </c>
      <c r="F208" s="55" t="s">
        <v>61</v>
      </c>
      <c r="G208" s="27" t="s">
        <v>62</v>
      </c>
      <c r="H208" s="27">
        <v>12</v>
      </c>
      <c r="I208" s="35">
        <v>500</v>
      </c>
      <c r="J208" s="35">
        <v>6000</v>
      </c>
      <c r="K208" s="35">
        <v>0</v>
      </c>
      <c r="L208" s="35">
        <v>1070.3900000000001</v>
      </c>
      <c r="M208" s="35"/>
      <c r="N208" s="35"/>
      <c r="O208" s="35"/>
      <c r="P208" s="35">
        <v>0</v>
      </c>
      <c r="Q208" s="35">
        <v>0</v>
      </c>
      <c r="R208" s="35">
        <v>4929.6099999999997</v>
      </c>
      <c r="S208" s="58">
        <v>4929.6099999999997</v>
      </c>
      <c r="T208" s="58"/>
      <c r="U208" s="58">
        <v>0</v>
      </c>
      <c r="V208" s="59"/>
      <c r="W208" s="31">
        <f t="shared" si="34"/>
        <v>6000</v>
      </c>
      <c r="X208" s="60" t="e">
        <f>#REF!-W208</f>
        <v>#REF!</v>
      </c>
      <c r="Y208" s="60"/>
      <c r="Z208" s="33">
        <f t="shared" si="35"/>
        <v>0</v>
      </c>
      <c r="AA208" s="33">
        <f t="shared" si="36"/>
        <v>0</v>
      </c>
      <c r="AB208" s="261"/>
      <c r="AC208" s="261"/>
      <c r="AD208" s="261"/>
      <c r="AE208" s="261"/>
      <c r="AF208" s="34" t="s">
        <v>269</v>
      </c>
    </row>
    <row r="209" spans="1:32" ht="15" customHeight="1" x14ac:dyDescent="0.35">
      <c r="A209" s="264"/>
      <c r="B209" s="272"/>
      <c r="C209" s="272"/>
      <c r="D209" s="25" t="s">
        <v>17</v>
      </c>
      <c r="E209" s="50" t="s">
        <v>232</v>
      </c>
      <c r="F209" s="55" t="s">
        <v>36</v>
      </c>
      <c r="G209" s="27" t="s">
        <v>55</v>
      </c>
      <c r="H209" s="27">
        <v>1</v>
      </c>
      <c r="I209" s="35">
        <v>10000</v>
      </c>
      <c r="J209" s="35">
        <v>10000</v>
      </c>
      <c r="K209" s="35">
        <v>0</v>
      </c>
      <c r="L209" s="35">
        <v>9759.4599999999991</v>
      </c>
      <c r="M209" s="35"/>
      <c r="N209" s="35"/>
      <c r="O209" s="35"/>
      <c r="P209" s="35">
        <v>0</v>
      </c>
      <c r="Q209" s="35">
        <v>0</v>
      </c>
      <c r="R209" s="35">
        <v>240.54000000000087</v>
      </c>
      <c r="S209" s="58">
        <v>240.54000000000087</v>
      </c>
      <c r="T209" s="58"/>
      <c r="U209" s="58">
        <v>0</v>
      </c>
      <c r="V209" s="59"/>
      <c r="W209" s="31">
        <f t="shared" si="34"/>
        <v>10000</v>
      </c>
      <c r="X209" s="60" t="e">
        <f>#REF!-W209</f>
        <v>#REF!</v>
      </c>
      <c r="Y209" s="60"/>
      <c r="Z209" s="33">
        <f t="shared" si="35"/>
        <v>0</v>
      </c>
      <c r="AA209" s="33">
        <f t="shared" si="36"/>
        <v>0</v>
      </c>
      <c r="AB209" s="261"/>
      <c r="AC209" s="261"/>
      <c r="AD209" s="261"/>
      <c r="AE209" s="261"/>
      <c r="AF209" s="34" t="s">
        <v>270</v>
      </c>
    </row>
    <row r="210" spans="1:32" ht="15" customHeight="1" x14ac:dyDescent="0.35">
      <c r="A210" s="264"/>
      <c r="B210" s="272"/>
      <c r="C210" s="272"/>
      <c r="D210" s="25" t="s">
        <v>17</v>
      </c>
      <c r="E210" s="50" t="s">
        <v>232</v>
      </c>
      <c r="F210" s="55" t="s">
        <v>39</v>
      </c>
      <c r="G210" s="27" t="s">
        <v>40</v>
      </c>
      <c r="H210" s="27">
        <v>1</v>
      </c>
      <c r="I210" s="35">
        <v>7600</v>
      </c>
      <c r="J210" s="35">
        <v>7600</v>
      </c>
      <c r="K210" s="35">
        <v>0</v>
      </c>
      <c r="L210" s="35">
        <v>3989.19</v>
      </c>
      <c r="M210" s="35"/>
      <c r="N210" s="35"/>
      <c r="O210" s="35"/>
      <c r="P210" s="35">
        <v>0</v>
      </c>
      <c r="Q210" s="35">
        <v>0</v>
      </c>
      <c r="R210" s="35">
        <v>3610.81</v>
      </c>
      <c r="S210" s="58">
        <v>3610.81</v>
      </c>
      <c r="T210" s="58"/>
      <c r="U210" s="58">
        <v>0</v>
      </c>
      <c r="V210" s="59"/>
      <c r="W210" s="31">
        <f t="shared" si="34"/>
        <v>7600</v>
      </c>
      <c r="X210" s="60" t="e">
        <f>#REF!-W210</f>
        <v>#REF!</v>
      </c>
      <c r="Y210" s="60"/>
      <c r="Z210" s="33">
        <f t="shared" si="35"/>
        <v>0</v>
      </c>
      <c r="AA210" s="33">
        <f t="shared" si="36"/>
        <v>0</v>
      </c>
      <c r="AB210" s="261"/>
      <c r="AC210" s="261"/>
      <c r="AD210" s="261"/>
      <c r="AE210" s="261"/>
      <c r="AF210" s="34" t="s">
        <v>271</v>
      </c>
    </row>
    <row r="211" spans="1:32" ht="15" customHeight="1" x14ac:dyDescent="0.35">
      <c r="A211" s="264"/>
      <c r="B211" s="272"/>
      <c r="C211" s="272"/>
      <c r="D211" s="25" t="s">
        <v>17</v>
      </c>
      <c r="E211" s="50" t="s">
        <v>232</v>
      </c>
      <c r="F211" s="55" t="s">
        <v>28</v>
      </c>
      <c r="G211" s="27" t="s">
        <v>29</v>
      </c>
      <c r="H211" s="27">
        <v>18</v>
      </c>
      <c r="I211" s="35">
        <f>129685/18</f>
        <v>7204.7222222222226</v>
      </c>
      <c r="J211" s="35">
        <v>129685</v>
      </c>
      <c r="K211" s="35">
        <v>0</v>
      </c>
      <c r="L211" s="35"/>
      <c r="M211" s="35"/>
      <c r="N211" s="35"/>
      <c r="O211" s="35"/>
      <c r="P211" s="35">
        <v>0</v>
      </c>
      <c r="Q211" s="35">
        <v>0</v>
      </c>
      <c r="R211" s="35">
        <v>129685</v>
      </c>
      <c r="S211" s="58">
        <v>129685</v>
      </c>
      <c r="T211" s="58"/>
      <c r="U211" s="58">
        <v>0</v>
      </c>
      <c r="V211" s="59"/>
      <c r="W211" s="31">
        <f t="shared" si="34"/>
        <v>129685</v>
      </c>
      <c r="X211" s="60" t="e">
        <f>#REF!-W211</f>
        <v>#REF!</v>
      </c>
      <c r="Y211" s="60"/>
      <c r="Z211" s="33">
        <f t="shared" si="35"/>
        <v>0</v>
      </c>
      <c r="AA211" s="33">
        <f t="shared" si="36"/>
        <v>0</v>
      </c>
      <c r="AB211" s="261"/>
      <c r="AC211" s="261"/>
      <c r="AD211" s="261"/>
      <c r="AE211" s="261"/>
      <c r="AF211" s="34" t="s">
        <v>272</v>
      </c>
    </row>
    <row r="212" spans="1:32" ht="15" customHeight="1" x14ac:dyDescent="0.35">
      <c r="A212" s="264"/>
      <c r="B212" s="272"/>
      <c r="C212" s="272"/>
      <c r="D212" s="25" t="s">
        <v>31</v>
      </c>
      <c r="E212" s="50" t="s">
        <v>232</v>
      </c>
      <c r="F212" s="55" t="s">
        <v>28</v>
      </c>
      <c r="G212" s="27" t="s">
        <v>29</v>
      </c>
      <c r="H212" s="27">
        <v>18</v>
      </c>
      <c r="I212" s="35">
        <f>579940/18</f>
        <v>32218.888888888891</v>
      </c>
      <c r="J212" s="35">
        <v>0</v>
      </c>
      <c r="K212" s="35">
        <v>579940</v>
      </c>
      <c r="L212" s="35"/>
      <c r="M212" s="35"/>
      <c r="N212" s="35"/>
      <c r="O212" s="35">
        <v>246134.14</v>
      </c>
      <c r="P212" s="35">
        <v>0</v>
      </c>
      <c r="Q212" s="35">
        <v>191330</v>
      </c>
      <c r="R212" s="35">
        <v>0</v>
      </c>
      <c r="S212" s="58">
        <v>0</v>
      </c>
      <c r="T212" s="58">
        <v>9725.4099999999162</v>
      </c>
      <c r="U212" s="58">
        <v>0</v>
      </c>
      <c r="V212" s="59"/>
      <c r="W212" s="31">
        <f t="shared" si="34"/>
        <v>0</v>
      </c>
      <c r="X212" s="60" t="e">
        <f>#REF!-W212</f>
        <v>#REF!</v>
      </c>
      <c r="Y212" s="60"/>
      <c r="Z212" s="33">
        <f t="shared" si="35"/>
        <v>447189.54999999993</v>
      </c>
      <c r="AA212" s="33">
        <f t="shared" si="36"/>
        <v>0</v>
      </c>
      <c r="AB212" s="261"/>
      <c r="AC212" s="261"/>
      <c r="AD212" s="261"/>
      <c r="AE212" s="261"/>
      <c r="AF212" s="34" t="s">
        <v>273</v>
      </c>
    </row>
    <row r="213" spans="1:32" ht="15" customHeight="1" x14ac:dyDescent="0.35">
      <c r="A213" s="264"/>
      <c r="B213" s="272"/>
      <c r="C213" s="272"/>
      <c r="D213" s="25" t="s">
        <v>17</v>
      </c>
      <c r="E213" s="50" t="s">
        <v>232</v>
      </c>
      <c r="F213" s="55" t="s">
        <v>53</v>
      </c>
      <c r="G213" s="27" t="s">
        <v>86</v>
      </c>
      <c r="H213" s="27">
        <v>1</v>
      </c>
      <c r="I213" s="45">
        <v>40945</v>
      </c>
      <c r="J213" s="45">
        <v>40945</v>
      </c>
      <c r="K213" s="45">
        <v>0</v>
      </c>
      <c r="L213" s="45"/>
      <c r="M213" s="45"/>
      <c r="N213" s="45"/>
      <c r="O213" s="45"/>
      <c r="P213" s="45">
        <v>0</v>
      </c>
      <c r="Q213" s="45">
        <v>0</v>
      </c>
      <c r="R213" s="45">
        <v>40945</v>
      </c>
      <c r="S213" s="58">
        <v>40945</v>
      </c>
      <c r="T213" s="58"/>
      <c r="U213" s="58">
        <v>0</v>
      </c>
      <c r="V213" s="59"/>
      <c r="W213" s="31">
        <f t="shared" si="34"/>
        <v>40945</v>
      </c>
      <c r="X213" s="60" t="e">
        <f>#REF!-W213</f>
        <v>#REF!</v>
      </c>
      <c r="Y213" s="60"/>
      <c r="Z213" s="33">
        <f t="shared" si="35"/>
        <v>0</v>
      </c>
      <c r="AA213" s="33">
        <f t="shared" si="36"/>
        <v>0</v>
      </c>
      <c r="AB213" s="262"/>
      <c r="AC213" s="262"/>
      <c r="AD213" s="261"/>
      <c r="AE213" s="261"/>
      <c r="AF213" s="34" t="s">
        <v>274</v>
      </c>
    </row>
    <row r="214" spans="1:32" ht="15" customHeight="1" x14ac:dyDescent="0.35">
      <c r="A214" s="24"/>
      <c r="B214" s="25"/>
      <c r="C214" s="39"/>
      <c r="D214" s="39"/>
      <c r="E214" s="53"/>
      <c r="F214" s="57"/>
      <c r="G214" s="41"/>
      <c r="H214" s="41"/>
      <c r="I214" s="54"/>
      <c r="J214" s="54">
        <f>SUM(J207:J213)</f>
        <v>233110</v>
      </c>
      <c r="K214" s="54">
        <f t="shared" ref="K214:AC214" si="38">SUM(K207:K213)</f>
        <v>579940</v>
      </c>
      <c r="L214" s="54">
        <f t="shared" si="38"/>
        <v>53699.040000000001</v>
      </c>
      <c r="M214" s="54">
        <f t="shared" si="38"/>
        <v>0</v>
      </c>
      <c r="N214" s="54">
        <f t="shared" si="38"/>
        <v>0</v>
      </c>
      <c r="O214" s="54">
        <f t="shared" si="38"/>
        <v>246134.14</v>
      </c>
      <c r="P214" s="54">
        <f t="shared" si="38"/>
        <v>0</v>
      </c>
      <c r="Q214" s="54">
        <f t="shared" si="38"/>
        <v>191330</v>
      </c>
      <c r="R214" s="54">
        <f t="shared" si="38"/>
        <v>179410.96</v>
      </c>
      <c r="S214" s="54">
        <f t="shared" si="38"/>
        <v>179410.96</v>
      </c>
      <c r="T214" s="54">
        <f t="shared" si="38"/>
        <v>9725.4099999999162</v>
      </c>
      <c r="U214" s="54">
        <f t="shared" si="38"/>
        <v>0</v>
      </c>
      <c r="V214" s="54">
        <f t="shared" si="38"/>
        <v>0</v>
      </c>
      <c r="W214" s="54">
        <f t="shared" si="38"/>
        <v>233110</v>
      </c>
      <c r="X214" s="54" t="e">
        <f t="shared" si="38"/>
        <v>#REF!</v>
      </c>
      <c r="Y214" s="54">
        <f t="shared" si="38"/>
        <v>0</v>
      </c>
      <c r="Z214" s="54">
        <f t="shared" si="38"/>
        <v>447189.54999999993</v>
      </c>
      <c r="AA214" s="54">
        <f t="shared" si="38"/>
        <v>0</v>
      </c>
      <c r="AB214" s="54">
        <f t="shared" si="38"/>
        <v>233110</v>
      </c>
      <c r="AC214" s="54">
        <f t="shared" si="38"/>
        <v>894379.09999999986</v>
      </c>
      <c r="AD214" s="261"/>
      <c r="AE214" s="261"/>
      <c r="AF214" s="49"/>
    </row>
    <row r="215" spans="1:32" ht="15" customHeight="1" x14ac:dyDescent="0.35">
      <c r="A215" s="66"/>
      <c r="B215" s="25"/>
      <c r="C215" s="25" t="s">
        <v>275</v>
      </c>
      <c r="D215" s="25" t="s">
        <v>17</v>
      </c>
      <c r="E215" s="50"/>
      <c r="F215" s="55" t="s">
        <v>275</v>
      </c>
      <c r="G215" s="27" t="s">
        <v>86</v>
      </c>
      <c r="H215" s="27">
        <v>1</v>
      </c>
      <c r="I215" s="45">
        <v>205295</v>
      </c>
      <c r="J215" s="45">
        <v>415538</v>
      </c>
      <c r="K215" s="45">
        <v>0</v>
      </c>
      <c r="L215" s="45"/>
      <c r="M215" s="45"/>
      <c r="N215" s="45"/>
      <c r="O215" s="45"/>
      <c r="P215" s="45"/>
      <c r="Q215" s="45"/>
      <c r="R215" s="45">
        <v>415538</v>
      </c>
      <c r="S215" s="58">
        <v>0</v>
      </c>
      <c r="T215" s="58"/>
      <c r="U215" s="58">
        <v>0</v>
      </c>
      <c r="V215" s="59"/>
      <c r="W215" s="31">
        <f t="shared" si="34"/>
        <v>0</v>
      </c>
      <c r="X215" s="60" t="e">
        <f>#REF!-W215</f>
        <v>#REF!</v>
      </c>
      <c r="Y215" s="60"/>
      <c r="Z215" s="33">
        <f t="shared" si="35"/>
        <v>0</v>
      </c>
      <c r="AA215" s="33">
        <f t="shared" si="36"/>
        <v>415538</v>
      </c>
      <c r="AB215" s="67"/>
      <c r="AC215" s="67"/>
      <c r="AD215" s="262"/>
      <c r="AE215" s="262"/>
      <c r="AF215" s="34" t="s">
        <v>276</v>
      </c>
    </row>
    <row r="216" spans="1:32" ht="15" customHeight="1" x14ac:dyDescent="0.35">
      <c r="A216" s="257" t="s">
        <v>277</v>
      </c>
      <c r="B216" s="257"/>
      <c r="C216" s="257"/>
      <c r="D216" s="257"/>
      <c r="E216" s="257"/>
      <c r="F216" s="257"/>
      <c r="G216" s="257"/>
      <c r="H216" s="257"/>
      <c r="I216" s="257"/>
      <c r="J216" s="68">
        <f>J14+J34+J39+J53+J61+J69+J84+J95+J106+J111+J118+J124+J130+J137+J142+J148+J155+J161+J166+J173+J178+J195+J206+J214+J215</f>
        <v>9842042.9990760013</v>
      </c>
      <c r="K216" s="68">
        <f t="shared" ref="K216:AC216" si="39">K14+K34+K39+K53+K61+K69+K84+K95+K106+K111+K118+K124+K130+K137+K142+K148+K155+K161+K166+K173+K178+K195+K206+K214+K215</f>
        <v>1323292</v>
      </c>
      <c r="L216" s="68">
        <f t="shared" si="39"/>
        <v>662667.28</v>
      </c>
      <c r="M216" s="68">
        <f t="shared" si="39"/>
        <v>0</v>
      </c>
      <c r="N216" s="68">
        <f t="shared" si="39"/>
        <v>354473.29634202918</v>
      </c>
      <c r="O216" s="68">
        <f t="shared" si="39"/>
        <v>323688.37902602548</v>
      </c>
      <c r="P216" s="68">
        <f t="shared" si="39"/>
        <v>1141084.678628528</v>
      </c>
      <c r="Q216" s="68">
        <f t="shared" si="39"/>
        <v>269164.74529088335</v>
      </c>
      <c r="R216" s="68">
        <f t="shared" si="39"/>
        <v>7683817.7207884584</v>
      </c>
      <c r="S216" s="68">
        <f t="shared" si="39"/>
        <v>3045437.9378974545</v>
      </c>
      <c r="T216" s="68">
        <f t="shared" si="39"/>
        <v>546636.38935090485</v>
      </c>
      <c r="U216" s="68">
        <f t="shared" si="39"/>
        <v>4208808.54</v>
      </c>
      <c r="V216" s="68">
        <f t="shared" si="39"/>
        <v>34000</v>
      </c>
      <c r="W216" s="68">
        <f t="shared" si="39"/>
        <v>9412471.7328680102</v>
      </c>
      <c r="X216" s="68" t="e">
        <f t="shared" si="39"/>
        <v>#REF!</v>
      </c>
      <c r="Y216" s="68" t="e">
        <f t="shared" si="39"/>
        <v>#REF!</v>
      </c>
      <c r="Z216" s="68">
        <f t="shared" si="39"/>
        <v>1183489.5136678137</v>
      </c>
      <c r="AA216" s="68">
        <f t="shared" si="39"/>
        <v>429571.2662079882</v>
      </c>
      <c r="AB216" s="68">
        <f t="shared" si="39"/>
        <v>9412471.7328680102</v>
      </c>
      <c r="AC216" s="68">
        <f t="shared" si="39"/>
        <v>1630679.0636678138</v>
      </c>
      <c r="AD216" s="68">
        <f>AD9+AD34+AD39+AD53+AD55+AD69+AD84+AD95+AD106+AD111+AD118+AD124+AD130+AD137+AD142+AD148+AD155+AD161+AD166+AD173+AD178+AD195+AD206+AD214+AD215</f>
        <v>9412471.7328680102</v>
      </c>
      <c r="AE216" s="68">
        <f>AE9+AE34+AE39+AE53+AE55+AE69+AE84+AE95+AE106+AE111+AE118+AE124+AE130+AE137+AE142+AE148+AE155+AE161+AE166+AE173+AE178+AE195+AE206+AE214+AE215</f>
        <v>1630679.0636678138</v>
      </c>
      <c r="AF216" s="69">
        <f>SUM(AF9:AF215)</f>
        <v>0</v>
      </c>
    </row>
    <row r="217" spans="1:32" ht="15" customHeight="1" x14ac:dyDescent="0.35">
      <c r="A217" s="264" t="s">
        <v>278</v>
      </c>
      <c r="B217" s="265" t="s">
        <v>279</v>
      </c>
      <c r="C217" s="265" t="s">
        <v>280</v>
      </c>
      <c r="D217" s="70" t="s">
        <v>17</v>
      </c>
      <c r="E217" s="50" t="s">
        <v>281</v>
      </c>
      <c r="F217" s="71" t="s">
        <v>28</v>
      </c>
      <c r="G217" s="27" t="s">
        <v>29</v>
      </c>
      <c r="H217" s="27">
        <v>78</v>
      </c>
      <c r="I217" s="45">
        <v>1359</v>
      </c>
      <c r="J217" s="45">
        <v>131466</v>
      </c>
      <c r="K217" s="45">
        <v>0</v>
      </c>
      <c r="L217" s="45">
        <v>30872.93</v>
      </c>
      <c r="M217" s="45"/>
      <c r="N217" s="45">
        <v>25826.83</v>
      </c>
      <c r="O217" s="45"/>
      <c r="P217" s="45">
        <v>25339.559999999998</v>
      </c>
      <c r="Q217" s="45"/>
      <c r="R217" s="45">
        <v>49426.679999999993</v>
      </c>
      <c r="S217" s="58">
        <v>24000</v>
      </c>
      <c r="T217" s="58"/>
      <c r="U217" s="58">
        <v>28000</v>
      </c>
      <c r="V217" s="59"/>
      <c r="W217" s="31">
        <f t="shared" si="34"/>
        <v>134039.32</v>
      </c>
      <c r="X217" s="60" t="e">
        <f>#REF!-W217</f>
        <v>#REF!</v>
      </c>
      <c r="Y217" s="60"/>
      <c r="Z217" s="33">
        <f t="shared" si="35"/>
        <v>0</v>
      </c>
      <c r="AA217" s="33">
        <f t="shared" si="36"/>
        <v>-2573.320000000007</v>
      </c>
      <c r="AB217" s="260">
        <f>SUM(W217:W236)</f>
        <v>719896</v>
      </c>
      <c r="AC217" s="260">
        <f>SUM(Z217:Z236)</f>
        <v>0</v>
      </c>
      <c r="AD217" s="260">
        <f>AB237+AB247+AB262+AB276+AB288+AB293+AB312+AB320+AB321</f>
        <v>3192360.0011953628</v>
      </c>
      <c r="AE217" s="260">
        <f>AC237+AC247+AC262+AC276+AC288+AC293+AC312+AC320+AC321</f>
        <v>81700.578951273026</v>
      </c>
      <c r="AF217" s="34" t="s">
        <v>282</v>
      </c>
    </row>
    <row r="218" spans="1:32" ht="15" customHeight="1" x14ac:dyDescent="0.35">
      <c r="A218" s="264"/>
      <c r="B218" s="265"/>
      <c r="C218" s="265"/>
      <c r="D218" s="70" t="s">
        <v>17</v>
      </c>
      <c r="E218" s="50" t="s">
        <v>281</v>
      </c>
      <c r="F218" s="71" t="s">
        <v>154</v>
      </c>
      <c r="G218" s="27" t="s">
        <v>283</v>
      </c>
      <c r="H218" s="27">
        <v>4</v>
      </c>
      <c r="I218" s="45">
        <f>(10*14)*13</f>
        <v>1820</v>
      </c>
      <c r="J218" s="45">
        <v>7280</v>
      </c>
      <c r="K218" s="45">
        <v>0</v>
      </c>
      <c r="L218" s="45"/>
      <c r="M218" s="45"/>
      <c r="N218" s="45"/>
      <c r="O218" s="45"/>
      <c r="P218" s="45">
        <v>0</v>
      </c>
      <c r="Q218" s="45"/>
      <c r="R218" s="45">
        <v>7280</v>
      </c>
      <c r="S218" s="58">
        <v>7280</v>
      </c>
      <c r="T218" s="58"/>
      <c r="U218" s="58"/>
      <c r="V218" s="59"/>
      <c r="W218" s="31">
        <f t="shared" si="34"/>
        <v>7280</v>
      </c>
      <c r="X218" s="60" t="e">
        <f>#REF!-W218</f>
        <v>#REF!</v>
      </c>
      <c r="Y218" s="60"/>
      <c r="Z218" s="33">
        <f t="shared" si="35"/>
        <v>0</v>
      </c>
      <c r="AA218" s="33">
        <f t="shared" si="36"/>
        <v>0</v>
      </c>
      <c r="AB218" s="261"/>
      <c r="AC218" s="261"/>
      <c r="AD218" s="261"/>
      <c r="AE218" s="261"/>
      <c r="AF218" s="34" t="s">
        <v>284</v>
      </c>
    </row>
    <row r="219" spans="1:32" ht="15" customHeight="1" x14ac:dyDescent="0.35">
      <c r="A219" s="264"/>
      <c r="B219" s="265"/>
      <c r="C219" s="265"/>
      <c r="D219" s="70" t="s">
        <v>17</v>
      </c>
      <c r="E219" s="50" t="s">
        <v>281</v>
      </c>
      <c r="F219" s="71" t="s">
        <v>154</v>
      </c>
      <c r="G219" s="27" t="s">
        <v>283</v>
      </c>
      <c r="H219" s="27">
        <v>2</v>
      </c>
      <c r="I219" s="45">
        <v>1820</v>
      </c>
      <c r="J219" s="45">
        <v>29120</v>
      </c>
      <c r="K219" s="45">
        <v>0</v>
      </c>
      <c r="L219" s="45"/>
      <c r="M219" s="45"/>
      <c r="N219" s="45"/>
      <c r="O219" s="45"/>
      <c r="P219" s="45">
        <v>0</v>
      </c>
      <c r="Q219" s="45"/>
      <c r="R219" s="45">
        <v>29120</v>
      </c>
      <c r="S219" s="58">
        <v>14560</v>
      </c>
      <c r="T219" s="58"/>
      <c r="U219" s="58">
        <v>14560</v>
      </c>
      <c r="V219" s="59"/>
      <c r="W219" s="31">
        <f t="shared" si="34"/>
        <v>29120</v>
      </c>
      <c r="X219" s="60" t="e">
        <f>#REF!-W219</f>
        <v>#REF!</v>
      </c>
      <c r="Y219" s="60"/>
      <c r="Z219" s="33">
        <f t="shared" si="35"/>
        <v>0</v>
      </c>
      <c r="AA219" s="33">
        <f t="shared" si="36"/>
        <v>0</v>
      </c>
      <c r="AB219" s="261"/>
      <c r="AC219" s="261"/>
      <c r="AD219" s="261"/>
      <c r="AE219" s="261"/>
      <c r="AF219" s="34" t="s">
        <v>285</v>
      </c>
    </row>
    <row r="220" spans="1:32" ht="15" customHeight="1" x14ac:dyDescent="0.35">
      <c r="A220" s="264"/>
      <c r="B220" s="265"/>
      <c r="C220" s="265"/>
      <c r="D220" s="70" t="s">
        <v>17</v>
      </c>
      <c r="E220" s="50" t="s">
        <v>281</v>
      </c>
      <c r="F220" s="71" t="s">
        <v>64</v>
      </c>
      <c r="G220" s="27" t="s">
        <v>86</v>
      </c>
      <c r="H220" s="27">
        <v>2</v>
      </c>
      <c r="I220" s="45">
        <v>10070</v>
      </c>
      <c r="J220" s="45">
        <v>20140</v>
      </c>
      <c r="K220" s="45">
        <v>0</v>
      </c>
      <c r="L220" s="45"/>
      <c r="M220" s="45"/>
      <c r="N220" s="45"/>
      <c r="O220" s="45"/>
      <c r="P220" s="45">
        <v>0</v>
      </c>
      <c r="Q220" s="45"/>
      <c r="R220" s="45">
        <v>20140</v>
      </c>
      <c r="S220" s="58">
        <v>20140</v>
      </c>
      <c r="T220" s="58"/>
      <c r="U220" s="58"/>
      <c r="V220" s="59"/>
      <c r="W220" s="31">
        <f t="shared" si="34"/>
        <v>20140</v>
      </c>
      <c r="X220" s="60" t="e">
        <f>#REF!-W220</f>
        <v>#REF!</v>
      </c>
      <c r="Y220" s="60"/>
      <c r="Z220" s="33">
        <f t="shared" si="35"/>
        <v>0</v>
      </c>
      <c r="AA220" s="33">
        <f t="shared" si="36"/>
        <v>0</v>
      </c>
      <c r="AB220" s="261"/>
      <c r="AC220" s="261"/>
      <c r="AD220" s="261"/>
      <c r="AE220" s="261"/>
      <c r="AF220" s="34" t="s">
        <v>286</v>
      </c>
    </row>
    <row r="221" spans="1:32" ht="15" customHeight="1" x14ac:dyDescent="0.35">
      <c r="A221" s="264"/>
      <c r="B221" s="265"/>
      <c r="C221" s="265"/>
      <c r="D221" s="70" t="s">
        <v>17</v>
      </c>
      <c r="E221" s="50" t="s">
        <v>281</v>
      </c>
      <c r="F221" s="71" t="s">
        <v>64</v>
      </c>
      <c r="G221" s="27" t="s">
        <v>86</v>
      </c>
      <c r="H221" s="27">
        <v>1</v>
      </c>
      <c r="I221" s="45">
        <v>2840</v>
      </c>
      <c r="J221" s="45">
        <v>2840</v>
      </c>
      <c r="K221" s="45">
        <v>0</v>
      </c>
      <c r="L221" s="45"/>
      <c r="M221" s="45"/>
      <c r="N221" s="45"/>
      <c r="O221" s="45"/>
      <c r="P221" s="45">
        <v>0</v>
      </c>
      <c r="Q221" s="45"/>
      <c r="R221" s="45">
        <v>2840</v>
      </c>
      <c r="S221" s="58">
        <v>2840</v>
      </c>
      <c r="T221" s="58"/>
      <c r="U221" s="58"/>
      <c r="V221" s="59"/>
      <c r="W221" s="31">
        <f t="shared" si="34"/>
        <v>2840</v>
      </c>
      <c r="X221" s="60" t="e">
        <f>#REF!-W221</f>
        <v>#REF!</v>
      </c>
      <c r="Y221" s="60"/>
      <c r="Z221" s="33">
        <f t="shared" si="35"/>
        <v>0</v>
      </c>
      <c r="AA221" s="33">
        <f t="shared" si="36"/>
        <v>0</v>
      </c>
      <c r="AB221" s="261"/>
      <c r="AC221" s="261"/>
      <c r="AD221" s="261"/>
      <c r="AE221" s="261"/>
      <c r="AF221" s="34" t="s">
        <v>287</v>
      </c>
    </row>
    <row r="222" spans="1:32" ht="15" customHeight="1" x14ac:dyDescent="0.35">
      <c r="A222" s="264"/>
      <c r="B222" s="265"/>
      <c r="C222" s="265"/>
      <c r="D222" s="70" t="s">
        <v>17</v>
      </c>
      <c r="E222" s="50" t="s">
        <v>281</v>
      </c>
      <c r="F222" s="71" t="s">
        <v>64</v>
      </c>
      <c r="G222" s="27" t="s">
        <v>86</v>
      </c>
      <c r="H222" s="27">
        <v>1</v>
      </c>
      <c r="I222" s="45">
        <v>52300</v>
      </c>
      <c r="J222" s="45">
        <v>52300</v>
      </c>
      <c r="K222" s="45">
        <v>0</v>
      </c>
      <c r="L222" s="45"/>
      <c r="M222" s="45"/>
      <c r="N222" s="45"/>
      <c r="O222" s="45"/>
      <c r="P222" s="45">
        <v>8426.83</v>
      </c>
      <c r="Q222" s="45"/>
      <c r="R222" s="45">
        <v>43873.17</v>
      </c>
      <c r="S222" s="58">
        <v>43873.17</v>
      </c>
      <c r="T222" s="58"/>
      <c r="U222" s="58"/>
      <c r="V222" s="59"/>
      <c r="W222" s="31">
        <f t="shared" si="34"/>
        <v>52300</v>
      </c>
      <c r="X222" s="60" t="e">
        <f>#REF!-W222</f>
        <v>#REF!</v>
      </c>
      <c r="Y222" s="60"/>
      <c r="Z222" s="33">
        <f t="shared" si="35"/>
        <v>0</v>
      </c>
      <c r="AA222" s="33">
        <f t="shared" si="36"/>
        <v>0</v>
      </c>
      <c r="AB222" s="261"/>
      <c r="AC222" s="261"/>
      <c r="AD222" s="261"/>
      <c r="AE222" s="261"/>
      <c r="AF222" s="34" t="s">
        <v>288</v>
      </c>
    </row>
    <row r="223" spans="1:32" ht="15" customHeight="1" x14ac:dyDescent="0.35">
      <c r="A223" s="264"/>
      <c r="B223" s="265"/>
      <c r="C223" s="265"/>
      <c r="D223" s="70" t="s">
        <v>17</v>
      </c>
      <c r="E223" s="50" t="s">
        <v>281</v>
      </c>
      <c r="F223" s="71" t="s">
        <v>64</v>
      </c>
      <c r="G223" s="27" t="s">
        <v>86</v>
      </c>
      <c r="H223" s="27">
        <v>2</v>
      </c>
      <c r="I223" s="45">
        <v>9065</v>
      </c>
      <c r="J223" s="45">
        <v>18130</v>
      </c>
      <c r="K223" s="45">
        <v>0</v>
      </c>
      <c r="L223" s="45"/>
      <c r="M223" s="45"/>
      <c r="N223" s="45"/>
      <c r="O223" s="45"/>
      <c r="P223" s="45">
        <v>0</v>
      </c>
      <c r="Q223" s="45"/>
      <c r="R223" s="45">
        <v>18130</v>
      </c>
      <c r="S223" s="58">
        <v>18130</v>
      </c>
      <c r="T223" s="58"/>
      <c r="U223" s="58"/>
      <c r="V223" s="59"/>
      <c r="W223" s="31">
        <f t="shared" si="34"/>
        <v>18130</v>
      </c>
      <c r="X223" s="60" t="e">
        <f>#REF!-W223</f>
        <v>#REF!</v>
      </c>
      <c r="Y223" s="60"/>
      <c r="Z223" s="33">
        <f t="shared" si="35"/>
        <v>0</v>
      </c>
      <c r="AA223" s="33">
        <f t="shared" si="36"/>
        <v>0</v>
      </c>
      <c r="AB223" s="261"/>
      <c r="AC223" s="261"/>
      <c r="AD223" s="261"/>
      <c r="AE223" s="261"/>
      <c r="AF223" s="34" t="s">
        <v>289</v>
      </c>
    </row>
    <row r="224" spans="1:32" ht="15" customHeight="1" x14ac:dyDescent="0.35">
      <c r="A224" s="264"/>
      <c r="B224" s="265"/>
      <c r="C224" s="265"/>
      <c r="D224" s="70" t="s">
        <v>17</v>
      </c>
      <c r="E224" s="50" t="s">
        <v>281</v>
      </c>
      <c r="F224" s="71" t="s">
        <v>66</v>
      </c>
      <c r="G224" s="27" t="s">
        <v>62</v>
      </c>
      <c r="H224" s="27">
        <v>1</v>
      </c>
      <c r="I224" s="45">
        <v>720</v>
      </c>
      <c r="J224" s="45">
        <v>720</v>
      </c>
      <c r="K224" s="45">
        <v>0</v>
      </c>
      <c r="L224" s="45"/>
      <c r="M224" s="45"/>
      <c r="N224" s="45"/>
      <c r="O224" s="45"/>
      <c r="P224" s="45">
        <v>1108.19</v>
      </c>
      <c r="Q224" s="45"/>
      <c r="R224" s="45">
        <v>-388.19000000000005</v>
      </c>
      <c r="S224" s="58">
        <v>-388.19000000000005</v>
      </c>
      <c r="T224" s="58"/>
      <c r="U224" s="58"/>
      <c r="V224" s="59"/>
      <c r="W224" s="31">
        <f t="shared" si="34"/>
        <v>720</v>
      </c>
      <c r="X224" s="60" t="e">
        <f>#REF!-W224</f>
        <v>#REF!</v>
      </c>
      <c r="Y224" s="60"/>
      <c r="Z224" s="33">
        <f t="shared" si="35"/>
        <v>0</v>
      </c>
      <c r="AA224" s="33">
        <f t="shared" si="36"/>
        <v>0</v>
      </c>
      <c r="AB224" s="261"/>
      <c r="AC224" s="261"/>
      <c r="AD224" s="261"/>
      <c r="AE224" s="261"/>
      <c r="AF224" s="34" t="s">
        <v>290</v>
      </c>
    </row>
    <row r="225" spans="1:32" ht="15" customHeight="1" x14ac:dyDescent="0.35">
      <c r="A225" s="264"/>
      <c r="B225" s="265"/>
      <c r="C225" s="265"/>
      <c r="D225" s="70" t="s">
        <v>17</v>
      </c>
      <c r="E225" s="50" t="s">
        <v>281</v>
      </c>
      <c r="F225" s="71" t="s">
        <v>73</v>
      </c>
      <c r="G225" s="27" t="s">
        <v>86</v>
      </c>
      <c r="H225" s="27">
        <v>4</v>
      </c>
      <c r="I225" s="45">
        <v>250</v>
      </c>
      <c r="J225" s="45">
        <v>1000</v>
      </c>
      <c r="K225" s="45">
        <v>0</v>
      </c>
      <c r="L225" s="45"/>
      <c r="M225" s="45"/>
      <c r="N225" s="45"/>
      <c r="O225" s="45"/>
      <c r="P225" s="45">
        <v>1370.05</v>
      </c>
      <c r="Q225" s="45"/>
      <c r="R225" s="45">
        <v>-370.04999999999995</v>
      </c>
      <c r="S225" s="58">
        <v>-370.04999999999995</v>
      </c>
      <c r="T225" s="58"/>
      <c r="U225" s="58">
        <v>0</v>
      </c>
      <c r="V225" s="59"/>
      <c r="W225" s="31">
        <f t="shared" si="34"/>
        <v>1000</v>
      </c>
      <c r="X225" s="60" t="e">
        <f>#REF!-W225</f>
        <v>#REF!</v>
      </c>
      <c r="Y225" s="60"/>
      <c r="Z225" s="33">
        <f t="shared" si="35"/>
        <v>0</v>
      </c>
      <c r="AA225" s="33">
        <f t="shared" si="36"/>
        <v>0</v>
      </c>
      <c r="AB225" s="261"/>
      <c r="AC225" s="261"/>
      <c r="AD225" s="261"/>
      <c r="AE225" s="261"/>
      <c r="AF225" s="34" t="s">
        <v>291</v>
      </c>
    </row>
    <row r="226" spans="1:32" ht="15" customHeight="1" x14ac:dyDescent="0.35">
      <c r="A226" s="264"/>
      <c r="B226" s="265"/>
      <c r="C226" s="265"/>
      <c r="D226" s="70" t="s">
        <v>17</v>
      </c>
      <c r="E226" s="50" t="s">
        <v>281</v>
      </c>
      <c r="F226" s="71" t="s">
        <v>69</v>
      </c>
      <c r="G226" s="27" t="s">
        <v>55</v>
      </c>
      <c r="H226" s="72">
        <v>104</v>
      </c>
      <c r="I226" s="28">
        <v>1100</v>
      </c>
      <c r="J226" s="28">
        <v>114400</v>
      </c>
      <c r="K226" s="28">
        <v>0</v>
      </c>
      <c r="L226" s="28"/>
      <c r="M226" s="28"/>
      <c r="N226" s="28">
        <v>357.67</v>
      </c>
      <c r="O226" s="28"/>
      <c r="P226" s="28">
        <v>2484.88</v>
      </c>
      <c r="Q226" s="28"/>
      <c r="R226" s="28">
        <v>111557.45</v>
      </c>
      <c r="S226" s="58">
        <v>55770</v>
      </c>
      <c r="T226" s="58"/>
      <c r="U226" s="58">
        <f>55778.725+45.31</f>
        <v>55824.034999999996</v>
      </c>
      <c r="V226" s="59"/>
      <c r="W226" s="31">
        <f t="shared" si="34"/>
        <v>114436.58499999999</v>
      </c>
      <c r="X226" s="60" t="e">
        <f>#REF!-W226</f>
        <v>#REF!</v>
      </c>
      <c r="Y226" s="60"/>
      <c r="Z226" s="33">
        <f t="shared" si="35"/>
        <v>0</v>
      </c>
      <c r="AA226" s="33">
        <f t="shared" si="36"/>
        <v>-36.584999999991851</v>
      </c>
      <c r="AB226" s="261"/>
      <c r="AC226" s="261"/>
      <c r="AD226" s="261"/>
      <c r="AE226" s="261"/>
      <c r="AF226" s="34" t="s">
        <v>292</v>
      </c>
    </row>
    <row r="227" spans="1:32" ht="15" customHeight="1" x14ac:dyDescent="0.35">
      <c r="A227" s="264"/>
      <c r="B227" s="265"/>
      <c r="C227" s="265"/>
      <c r="D227" s="70" t="s">
        <v>17</v>
      </c>
      <c r="E227" s="50" t="s">
        <v>281</v>
      </c>
      <c r="F227" s="71" t="s">
        <v>127</v>
      </c>
      <c r="G227" s="27" t="s">
        <v>55</v>
      </c>
      <c r="H227" s="27">
        <v>8</v>
      </c>
      <c r="I227" s="45">
        <v>500</v>
      </c>
      <c r="J227" s="45">
        <v>4000</v>
      </c>
      <c r="K227" s="45">
        <v>0</v>
      </c>
      <c r="L227" s="45"/>
      <c r="M227" s="45"/>
      <c r="N227" s="45"/>
      <c r="O227" s="45"/>
      <c r="P227" s="45">
        <v>0</v>
      </c>
      <c r="Q227" s="45"/>
      <c r="R227" s="45">
        <v>4000</v>
      </c>
      <c r="S227" s="58">
        <v>2000</v>
      </c>
      <c r="T227" s="58"/>
      <c r="U227" s="58">
        <v>2000</v>
      </c>
      <c r="V227" s="59"/>
      <c r="W227" s="31">
        <f t="shared" si="34"/>
        <v>4000</v>
      </c>
      <c r="X227" s="60" t="e">
        <f>#REF!-W227</f>
        <v>#REF!</v>
      </c>
      <c r="Y227" s="60"/>
      <c r="Z227" s="33">
        <f t="shared" si="35"/>
        <v>0</v>
      </c>
      <c r="AA227" s="33">
        <f t="shared" si="36"/>
        <v>0</v>
      </c>
      <c r="AB227" s="261"/>
      <c r="AC227" s="261"/>
      <c r="AD227" s="261"/>
      <c r="AE227" s="261"/>
      <c r="AF227" s="34" t="s">
        <v>293</v>
      </c>
    </row>
    <row r="228" spans="1:32" ht="15" customHeight="1" x14ac:dyDescent="0.35">
      <c r="A228" s="264"/>
      <c r="B228" s="265"/>
      <c r="C228" s="265"/>
      <c r="D228" s="70" t="s">
        <v>17</v>
      </c>
      <c r="E228" s="50" t="s">
        <v>281</v>
      </c>
      <c r="F228" s="71" t="s">
        <v>123</v>
      </c>
      <c r="G228" s="27" t="s">
        <v>155</v>
      </c>
      <c r="H228" s="27">
        <v>13</v>
      </c>
      <c r="I228" s="45">
        <v>2000</v>
      </c>
      <c r="J228" s="45">
        <v>26000</v>
      </c>
      <c r="K228" s="45">
        <v>0</v>
      </c>
      <c r="L228" s="45"/>
      <c r="M228" s="45"/>
      <c r="N228" s="45"/>
      <c r="O228" s="45"/>
      <c r="P228" s="45">
        <v>0</v>
      </c>
      <c r="Q228" s="45"/>
      <c r="R228" s="45">
        <v>26000</v>
      </c>
      <c r="S228" s="58">
        <v>26000</v>
      </c>
      <c r="T228" s="58"/>
      <c r="U228" s="58"/>
      <c r="V228" s="59"/>
      <c r="W228" s="31">
        <f t="shared" si="34"/>
        <v>26000</v>
      </c>
      <c r="X228" s="60" t="e">
        <f>#REF!-W228</f>
        <v>#REF!</v>
      </c>
      <c r="Y228" s="60"/>
      <c r="Z228" s="33">
        <f t="shared" si="35"/>
        <v>0</v>
      </c>
      <c r="AA228" s="33">
        <f t="shared" si="36"/>
        <v>0</v>
      </c>
      <c r="AB228" s="261"/>
      <c r="AC228" s="261"/>
      <c r="AD228" s="261"/>
      <c r="AE228" s="261"/>
      <c r="AF228" s="34" t="s">
        <v>294</v>
      </c>
    </row>
    <row r="229" spans="1:32" ht="15" customHeight="1" x14ac:dyDescent="0.35">
      <c r="A229" s="264"/>
      <c r="B229" s="265"/>
      <c r="C229" s="265"/>
      <c r="D229" s="70" t="s">
        <v>17</v>
      </c>
      <c r="E229" s="50" t="s">
        <v>281</v>
      </c>
      <c r="F229" s="71" t="s">
        <v>57</v>
      </c>
      <c r="G229" s="27" t="s">
        <v>58</v>
      </c>
      <c r="H229" s="27">
        <v>15</v>
      </c>
      <c r="I229" s="45">
        <v>600</v>
      </c>
      <c r="J229" s="45">
        <v>9000</v>
      </c>
      <c r="K229" s="45">
        <v>0</v>
      </c>
      <c r="L229" s="45"/>
      <c r="M229" s="45"/>
      <c r="N229" s="45"/>
      <c r="O229" s="45"/>
      <c r="P229" s="45">
        <v>0</v>
      </c>
      <c r="Q229" s="45"/>
      <c r="R229" s="45">
        <v>9000</v>
      </c>
      <c r="S229" s="58">
        <v>9000</v>
      </c>
      <c r="T229" s="58"/>
      <c r="U229" s="58"/>
      <c r="V229" s="59"/>
      <c r="W229" s="31">
        <f t="shared" si="34"/>
        <v>9000</v>
      </c>
      <c r="X229" s="60" t="e">
        <f>#REF!-W229</f>
        <v>#REF!</v>
      </c>
      <c r="Y229" s="60"/>
      <c r="Z229" s="33">
        <f t="shared" si="35"/>
        <v>0</v>
      </c>
      <c r="AA229" s="33">
        <f t="shared" si="36"/>
        <v>0</v>
      </c>
      <c r="AB229" s="261"/>
      <c r="AC229" s="261"/>
      <c r="AD229" s="261"/>
      <c r="AE229" s="261"/>
      <c r="AF229" s="34" t="s">
        <v>295</v>
      </c>
    </row>
    <row r="230" spans="1:32" ht="15" customHeight="1" x14ac:dyDescent="0.35">
      <c r="A230" s="264"/>
      <c r="B230" s="265"/>
      <c r="C230" s="265"/>
      <c r="D230" s="70" t="s">
        <v>17</v>
      </c>
      <c r="E230" s="50" t="s">
        <v>281</v>
      </c>
      <c r="F230" s="71" t="s">
        <v>36</v>
      </c>
      <c r="G230" s="27" t="s">
        <v>55</v>
      </c>
      <c r="H230" s="27">
        <v>1</v>
      </c>
      <c r="I230" s="45">
        <v>3750</v>
      </c>
      <c r="J230" s="45">
        <v>3750</v>
      </c>
      <c r="K230" s="45">
        <v>0</v>
      </c>
      <c r="L230" s="45"/>
      <c r="M230" s="45"/>
      <c r="N230" s="45"/>
      <c r="O230" s="45"/>
      <c r="P230" s="45">
        <v>0</v>
      </c>
      <c r="Q230" s="45"/>
      <c r="R230" s="45">
        <v>3750</v>
      </c>
      <c r="S230" s="58">
        <v>3750</v>
      </c>
      <c r="T230" s="58"/>
      <c r="U230" s="58"/>
      <c r="V230" s="59"/>
      <c r="W230" s="31">
        <f t="shared" si="34"/>
        <v>3750</v>
      </c>
      <c r="X230" s="60" t="e">
        <f>#REF!-W230</f>
        <v>#REF!</v>
      </c>
      <c r="Y230" s="60"/>
      <c r="Z230" s="33">
        <f t="shared" si="35"/>
        <v>0</v>
      </c>
      <c r="AA230" s="33">
        <f t="shared" si="36"/>
        <v>0</v>
      </c>
      <c r="AB230" s="261"/>
      <c r="AC230" s="261"/>
      <c r="AD230" s="261"/>
      <c r="AE230" s="261"/>
      <c r="AF230" s="34" t="s">
        <v>296</v>
      </c>
    </row>
    <row r="231" spans="1:32" ht="15" customHeight="1" x14ac:dyDescent="0.35">
      <c r="A231" s="264"/>
      <c r="B231" s="265"/>
      <c r="C231" s="265"/>
      <c r="D231" s="70" t="s">
        <v>17</v>
      </c>
      <c r="E231" s="50" t="s">
        <v>281</v>
      </c>
      <c r="F231" s="71" t="s">
        <v>39</v>
      </c>
      <c r="G231" s="27" t="s">
        <v>40</v>
      </c>
      <c r="H231" s="27">
        <v>1</v>
      </c>
      <c r="I231" s="45">
        <v>19300</v>
      </c>
      <c r="J231" s="45">
        <v>19300</v>
      </c>
      <c r="K231" s="45">
        <v>0</v>
      </c>
      <c r="L231" s="45"/>
      <c r="M231" s="45"/>
      <c r="N231" s="45">
        <v>336.85</v>
      </c>
      <c r="O231" s="45"/>
      <c r="P231" s="45">
        <v>2314.46</v>
      </c>
      <c r="Q231" s="45"/>
      <c r="R231" s="45">
        <v>16648.689999999999</v>
      </c>
      <c r="S231" s="58">
        <v>8500</v>
      </c>
      <c r="T231" s="58"/>
      <c r="U231" s="58">
        <v>8000</v>
      </c>
      <c r="V231" s="59"/>
      <c r="W231" s="31">
        <f t="shared" si="34"/>
        <v>19151.309999999998</v>
      </c>
      <c r="X231" s="60" t="e">
        <f>#REF!-W231</f>
        <v>#REF!</v>
      </c>
      <c r="Y231" s="60"/>
      <c r="Z231" s="33">
        <f t="shared" si="35"/>
        <v>0</v>
      </c>
      <c r="AA231" s="33">
        <f t="shared" si="36"/>
        <v>148.69000000000233</v>
      </c>
      <c r="AB231" s="261"/>
      <c r="AC231" s="261"/>
      <c r="AD231" s="261"/>
      <c r="AE231" s="261"/>
      <c r="AF231" s="34" t="s">
        <v>297</v>
      </c>
    </row>
    <row r="232" spans="1:32" ht="15" customHeight="1" x14ac:dyDescent="0.35">
      <c r="A232" s="264"/>
      <c r="B232" s="265"/>
      <c r="C232" s="265"/>
      <c r="D232" s="70" t="s">
        <v>17</v>
      </c>
      <c r="E232" s="50" t="s">
        <v>281</v>
      </c>
      <c r="F232" s="71" t="s">
        <v>130</v>
      </c>
      <c r="G232" s="27" t="s">
        <v>40</v>
      </c>
      <c r="H232" s="27">
        <v>65</v>
      </c>
      <c r="I232" s="45">
        <v>1000</v>
      </c>
      <c r="J232" s="45">
        <v>65000</v>
      </c>
      <c r="K232" s="45">
        <v>0</v>
      </c>
      <c r="L232" s="45"/>
      <c r="M232" s="45"/>
      <c r="N232" s="45"/>
      <c r="O232" s="45"/>
      <c r="P232" s="45">
        <v>1733.13</v>
      </c>
      <c r="Q232" s="45"/>
      <c r="R232" s="45">
        <v>63266.87</v>
      </c>
      <c r="S232" s="58">
        <v>31633.435000000001</v>
      </c>
      <c r="T232" s="58"/>
      <c r="U232" s="58">
        <v>31600</v>
      </c>
      <c r="V232" s="59"/>
      <c r="W232" s="31">
        <f t="shared" si="34"/>
        <v>64966.565000000002</v>
      </c>
      <c r="X232" s="60" t="e">
        <f>#REF!-W232</f>
        <v>#REF!</v>
      </c>
      <c r="Y232" s="60"/>
      <c r="Z232" s="33">
        <f t="shared" si="35"/>
        <v>0</v>
      </c>
      <c r="AA232" s="33">
        <f t="shared" si="36"/>
        <v>33.434999999997672</v>
      </c>
      <c r="AB232" s="261"/>
      <c r="AC232" s="261"/>
      <c r="AD232" s="261"/>
      <c r="AE232" s="261"/>
      <c r="AF232" s="34" t="s">
        <v>298</v>
      </c>
    </row>
    <row r="233" spans="1:32" ht="15" customHeight="1" x14ac:dyDescent="0.35">
      <c r="A233" s="264"/>
      <c r="B233" s="265"/>
      <c r="C233" s="265"/>
      <c r="D233" s="70" t="s">
        <v>17</v>
      </c>
      <c r="E233" s="50" t="s">
        <v>281</v>
      </c>
      <c r="F233" s="71" t="s">
        <v>61</v>
      </c>
      <c r="G233" s="27" t="s">
        <v>86</v>
      </c>
      <c r="H233" s="27">
        <v>1</v>
      </c>
      <c r="I233" s="45">
        <v>5500</v>
      </c>
      <c r="J233" s="45">
        <v>5500</v>
      </c>
      <c r="K233" s="45">
        <v>0</v>
      </c>
      <c r="L233" s="45">
        <v>1475.49</v>
      </c>
      <c r="M233" s="45"/>
      <c r="N233" s="45"/>
      <c r="O233" s="45"/>
      <c r="P233" s="45">
        <v>4024.5</v>
      </c>
      <c r="Q233" s="45"/>
      <c r="R233" s="45">
        <v>1.0000000000218279E-2</v>
      </c>
      <c r="S233" s="58">
        <v>0</v>
      </c>
      <c r="T233" s="58"/>
      <c r="U233" s="58"/>
      <c r="V233" s="59"/>
      <c r="W233" s="31">
        <f t="shared" si="34"/>
        <v>5499.99</v>
      </c>
      <c r="X233" s="60" t="e">
        <f>#REF!-W233</f>
        <v>#REF!</v>
      </c>
      <c r="Y233" s="60"/>
      <c r="Z233" s="33">
        <f t="shared" si="35"/>
        <v>0</v>
      </c>
      <c r="AA233" s="33">
        <f t="shared" si="36"/>
        <v>1.0000000000218279E-2</v>
      </c>
      <c r="AB233" s="261"/>
      <c r="AC233" s="261"/>
      <c r="AD233" s="261"/>
      <c r="AE233" s="261"/>
      <c r="AF233" s="34" t="s">
        <v>299</v>
      </c>
    </row>
    <row r="234" spans="1:32" ht="15" customHeight="1" x14ac:dyDescent="0.35">
      <c r="A234" s="264"/>
      <c r="B234" s="265"/>
      <c r="C234" s="265"/>
      <c r="D234" s="70" t="s">
        <v>17</v>
      </c>
      <c r="E234" s="50" t="s">
        <v>281</v>
      </c>
      <c r="F234" s="71" t="s">
        <v>64</v>
      </c>
      <c r="G234" s="27" t="s">
        <v>86</v>
      </c>
      <c r="H234" s="27">
        <v>1</v>
      </c>
      <c r="I234" s="45">
        <v>129350</v>
      </c>
      <c r="J234" s="45">
        <v>129350</v>
      </c>
      <c r="K234" s="45">
        <v>0</v>
      </c>
      <c r="L234" s="45"/>
      <c r="M234" s="45"/>
      <c r="N234" s="45"/>
      <c r="O234" s="45"/>
      <c r="P234" s="45">
        <v>32946.11</v>
      </c>
      <c r="Q234" s="45"/>
      <c r="R234" s="45">
        <v>96403.89</v>
      </c>
      <c r="S234" s="58">
        <v>48200</v>
      </c>
      <c r="T234" s="58"/>
      <c r="U234" s="58">
        <v>46380</v>
      </c>
      <c r="V234" s="59"/>
      <c r="W234" s="31">
        <f t="shared" si="34"/>
        <v>127526.11</v>
      </c>
      <c r="X234" s="60" t="e">
        <f>#REF!-W234</f>
        <v>#REF!</v>
      </c>
      <c r="Y234" s="60"/>
      <c r="Z234" s="33">
        <f t="shared" si="35"/>
        <v>0</v>
      </c>
      <c r="AA234" s="33">
        <f t="shared" si="36"/>
        <v>1823.8899999999994</v>
      </c>
      <c r="AB234" s="261"/>
      <c r="AC234" s="261"/>
      <c r="AD234" s="261"/>
      <c r="AE234" s="261"/>
      <c r="AF234" s="34" t="s">
        <v>300</v>
      </c>
    </row>
    <row r="235" spans="1:32" ht="15" customHeight="1" x14ac:dyDescent="0.35">
      <c r="A235" s="264"/>
      <c r="B235" s="265"/>
      <c r="C235" s="265"/>
      <c r="D235" s="70" t="s">
        <v>17</v>
      </c>
      <c r="E235" s="50" t="s">
        <v>281</v>
      </c>
      <c r="F235" s="71" t="s">
        <v>64</v>
      </c>
      <c r="G235" s="27" t="s">
        <v>86</v>
      </c>
      <c r="H235" s="27">
        <v>1</v>
      </c>
      <c r="I235" s="45">
        <v>2600</v>
      </c>
      <c r="J235" s="45">
        <v>2600</v>
      </c>
      <c r="K235" s="45">
        <v>0</v>
      </c>
      <c r="L235" s="45"/>
      <c r="M235" s="45"/>
      <c r="N235" s="45"/>
      <c r="O235" s="45"/>
      <c r="P235" s="45">
        <v>4807.29</v>
      </c>
      <c r="Q235" s="45"/>
      <c r="R235" s="45">
        <v>-2207.29</v>
      </c>
      <c r="S235" s="58">
        <v>-2207.29</v>
      </c>
      <c r="T235" s="58"/>
      <c r="U235" s="58"/>
      <c r="V235" s="59"/>
      <c r="W235" s="31">
        <f t="shared" si="34"/>
        <v>2600</v>
      </c>
      <c r="X235" s="60" t="e">
        <f>#REF!-W235</f>
        <v>#REF!</v>
      </c>
      <c r="Y235" s="60"/>
      <c r="Z235" s="33">
        <f t="shared" si="35"/>
        <v>0</v>
      </c>
      <c r="AA235" s="33">
        <f t="shared" si="36"/>
        <v>0</v>
      </c>
      <c r="AB235" s="261"/>
      <c r="AC235" s="261"/>
      <c r="AD235" s="261"/>
      <c r="AE235" s="261"/>
      <c r="AF235" s="34" t="s">
        <v>301</v>
      </c>
    </row>
    <row r="236" spans="1:32" ht="15" customHeight="1" x14ac:dyDescent="0.35">
      <c r="A236" s="264"/>
      <c r="B236" s="265"/>
      <c r="C236" s="265"/>
      <c r="D236" s="70" t="s">
        <v>17</v>
      </c>
      <c r="E236" s="50" t="s">
        <v>281</v>
      </c>
      <c r="F236" s="71" t="s">
        <v>132</v>
      </c>
      <c r="G236" s="27" t="s">
        <v>155</v>
      </c>
      <c r="H236" s="27">
        <v>13</v>
      </c>
      <c r="I236" s="45">
        <v>3000</v>
      </c>
      <c r="J236" s="45">
        <v>78000</v>
      </c>
      <c r="K236" s="45">
        <v>0</v>
      </c>
      <c r="L236" s="45"/>
      <c r="M236" s="45"/>
      <c r="N236" s="45"/>
      <c r="O236" s="45"/>
      <c r="P236" s="45">
        <v>1896.12</v>
      </c>
      <c r="Q236" s="45"/>
      <c r="R236" s="45">
        <v>76103.88</v>
      </c>
      <c r="S236" s="58">
        <v>38000</v>
      </c>
      <c r="T236" s="58"/>
      <c r="U236" s="58">
        <v>37500</v>
      </c>
      <c r="V236" s="59"/>
      <c r="W236" s="31">
        <f t="shared" si="34"/>
        <v>77396.12</v>
      </c>
      <c r="X236" s="60" t="e">
        <f>#REF!-W236</f>
        <v>#REF!</v>
      </c>
      <c r="Y236" s="60"/>
      <c r="Z236" s="33">
        <f t="shared" si="35"/>
        <v>0</v>
      </c>
      <c r="AA236" s="33">
        <f t="shared" si="36"/>
        <v>603.88000000000466</v>
      </c>
      <c r="AB236" s="262"/>
      <c r="AC236" s="262"/>
      <c r="AD236" s="261"/>
      <c r="AE236" s="261"/>
      <c r="AF236" s="34" t="s">
        <v>302</v>
      </c>
    </row>
    <row r="237" spans="1:32" ht="15" customHeight="1" x14ac:dyDescent="0.35">
      <c r="A237" s="264"/>
      <c r="B237" s="265"/>
      <c r="C237" s="73"/>
      <c r="D237" s="73"/>
      <c r="E237" s="53"/>
      <c r="F237" s="74"/>
      <c r="G237" s="41"/>
      <c r="H237" s="41"/>
      <c r="I237" s="54"/>
      <c r="J237" s="54">
        <f>SUM(J217:J236)</f>
        <v>719896</v>
      </c>
      <c r="K237" s="54">
        <f t="shared" ref="K237:AC237" si="40">SUM(K217:K236)</f>
        <v>0</v>
      </c>
      <c r="L237" s="54">
        <f t="shared" si="40"/>
        <v>32348.420000000002</v>
      </c>
      <c r="M237" s="54">
        <f t="shared" si="40"/>
        <v>0</v>
      </c>
      <c r="N237" s="54">
        <f t="shared" si="40"/>
        <v>26521.35</v>
      </c>
      <c r="O237" s="54">
        <f t="shared" si="40"/>
        <v>0</v>
      </c>
      <c r="P237" s="54">
        <f t="shared" si="40"/>
        <v>86451.119999999981</v>
      </c>
      <c r="Q237" s="54">
        <f t="shared" si="40"/>
        <v>0</v>
      </c>
      <c r="R237" s="54">
        <f t="shared" si="40"/>
        <v>574575.1100000001</v>
      </c>
      <c r="S237" s="54">
        <f t="shared" si="40"/>
        <v>350711.07500000001</v>
      </c>
      <c r="T237" s="54">
        <f t="shared" si="40"/>
        <v>0</v>
      </c>
      <c r="U237" s="54">
        <f t="shared" si="40"/>
        <v>223864.035</v>
      </c>
      <c r="V237" s="54">
        <f t="shared" si="40"/>
        <v>0</v>
      </c>
      <c r="W237" s="54">
        <f t="shared" si="40"/>
        <v>719896</v>
      </c>
      <c r="X237" s="54" t="e">
        <f t="shared" si="40"/>
        <v>#REF!</v>
      </c>
      <c r="Y237" s="54">
        <f t="shared" si="40"/>
        <v>0</v>
      </c>
      <c r="Z237" s="54">
        <f t="shared" si="40"/>
        <v>0</v>
      </c>
      <c r="AA237" s="54">
        <f t="shared" si="40"/>
        <v>5.4569682106375694E-12</v>
      </c>
      <c r="AB237" s="54">
        <f t="shared" si="40"/>
        <v>719896</v>
      </c>
      <c r="AC237" s="54">
        <f t="shared" si="40"/>
        <v>0</v>
      </c>
      <c r="AD237" s="261"/>
      <c r="AE237" s="261"/>
      <c r="AF237" s="49"/>
    </row>
    <row r="238" spans="1:32" ht="15" customHeight="1" x14ac:dyDescent="0.35">
      <c r="A238" s="264"/>
      <c r="B238" s="265"/>
      <c r="C238" s="265" t="s">
        <v>303</v>
      </c>
      <c r="D238" s="70" t="s">
        <v>304</v>
      </c>
      <c r="E238" s="50" t="s">
        <v>305</v>
      </c>
      <c r="F238" s="71" t="s">
        <v>28</v>
      </c>
      <c r="G238" s="27" t="s">
        <v>29</v>
      </c>
      <c r="H238" s="27">
        <v>78</v>
      </c>
      <c r="I238" s="45">
        <v>1359</v>
      </c>
      <c r="J238" s="45">
        <v>131466</v>
      </c>
      <c r="K238" s="45">
        <v>0</v>
      </c>
      <c r="L238" s="45">
        <v>23877.65</v>
      </c>
      <c r="M238" s="45"/>
      <c r="N238" s="45">
        <v>7680.75</v>
      </c>
      <c r="O238" s="45"/>
      <c r="P238" s="45">
        <v>26747.200000000001</v>
      </c>
      <c r="Q238" s="45"/>
      <c r="R238" s="45">
        <v>73160.399999999994</v>
      </c>
      <c r="S238" s="58">
        <v>2400</v>
      </c>
      <c r="T238" s="58"/>
      <c r="U238" s="58">
        <v>28000</v>
      </c>
      <c r="V238" s="59"/>
      <c r="W238" s="31">
        <f t="shared" si="34"/>
        <v>88705.600000000006</v>
      </c>
      <c r="X238" s="60" t="e">
        <f>#REF!-W238</f>
        <v>#REF!</v>
      </c>
      <c r="Y238" s="60" t="e">
        <f>#REF!-W238</f>
        <v>#REF!</v>
      </c>
      <c r="Z238" s="33">
        <f t="shared" si="35"/>
        <v>0</v>
      </c>
      <c r="AA238" s="33">
        <f t="shared" si="36"/>
        <v>42760.399999999994</v>
      </c>
      <c r="AB238" s="260">
        <f>SUM(W238:W246)</f>
        <v>298141.02</v>
      </c>
      <c r="AC238" s="260">
        <f>SUM(Z238:Z246)</f>
        <v>0</v>
      </c>
      <c r="AD238" s="261"/>
      <c r="AE238" s="261"/>
      <c r="AF238" s="34" t="s">
        <v>306</v>
      </c>
    </row>
    <row r="239" spans="1:32" ht="15" customHeight="1" x14ac:dyDescent="0.35">
      <c r="A239" s="264"/>
      <c r="B239" s="265"/>
      <c r="C239" s="265"/>
      <c r="D239" s="70" t="s">
        <v>17</v>
      </c>
      <c r="E239" s="50" t="s">
        <v>305</v>
      </c>
      <c r="F239" s="71" t="s">
        <v>53</v>
      </c>
      <c r="G239" s="27" t="s">
        <v>86</v>
      </c>
      <c r="H239" s="27">
        <v>4</v>
      </c>
      <c r="I239" s="45">
        <v>15000</v>
      </c>
      <c r="J239" s="45">
        <v>60000</v>
      </c>
      <c r="K239" s="45">
        <v>0</v>
      </c>
      <c r="L239" s="45"/>
      <c r="M239" s="45"/>
      <c r="N239" s="45"/>
      <c r="O239" s="45"/>
      <c r="P239" s="45">
        <v>0</v>
      </c>
      <c r="Q239" s="45"/>
      <c r="R239" s="45">
        <v>60000</v>
      </c>
      <c r="S239" s="58">
        <v>0</v>
      </c>
      <c r="T239" s="58"/>
      <c r="U239" s="58">
        <v>60000</v>
      </c>
      <c r="V239" s="59"/>
      <c r="W239" s="31">
        <f t="shared" si="34"/>
        <v>60000</v>
      </c>
      <c r="X239" s="60" t="e">
        <f>#REF!-W239</f>
        <v>#REF!</v>
      </c>
      <c r="Y239" s="60" t="e">
        <f>#REF!-W239</f>
        <v>#REF!</v>
      </c>
      <c r="Z239" s="33">
        <f t="shared" si="35"/>
        <v>0</v>
      </c>
      <c r="AA239" s="33">
        <f t="shared" si="36"/>
        <v>0</v>
      </c>
      <c r="AB239" s="261"/>
      <c r="AC239" s="261"/>
      <c r="AD239" s="261"/>
      <c r="AE239" s="261"/>
      <c r="AF239" s="34" t="s">
        <v>307</v>
      </c>
    </row>
    <row r="240" spans="1:32" ht="15" customHeight="1" x14ac:dyDescent="0.35">
      <c r="A240" s="264"/>
      <c r="B240" s="265"/>
      <c r="C240" s="265"/>
      <c r="D240" s="70" t="s">
        <v>17</v>
      </c>
      <c r="E240" s="50" t="s">
        <v>305</v>
      </c>
      <c r="F240" s="71" t="s">
        <v>69</v>
      </c>
      <c r="G240" s="27" t="s">
        <v>37</v>
      </c>
      <c r="H240" s="27">
        <v>32</v>
      </c>
      <c r="I240" s="45">
        <v>1100</v>
      </c>
      <c r="J240" s="45">
        <v>140800</v>
      </c>
      <c r="K240" s="45">
        <v>0</v>
      </c>
      <c r="L240" s="45"/>
      <c r="M240" s="45"/>
      <c r="N240" s="45"/>
      <c r="O240" s="45"/>
      <c r="P240" s="45">
        <v>7846.9699999999993</v>
      </c>
      <c r="Q240" s="45"/>
      <c r="R240" s="45">
        <v>132953.03</v>
      </c>
      <c r="S240" s="58">
        <v>26400</v>
      </c>
      <c r="T240" s="58"/>
      <c r="U240" s="58">
        <v>26400</v>
      </c>
      <c r="V240" s="59"/>
      <c r="W240" s="31">
        <f t="shared" si="34"/>
        <v>60646.97</v>
      </c>
      <c r="X240" s="60" t="e">
        <f>#REF!-W240</f>
        <v>#REF!</v>
      </c>
      <c r="Y240" s="60" t="e">
        <f>#REF!-W240</f>
        <v>#REF!</v>
      </c>
      <c r="Z240" s="33">
        <f t="shared" si="35"/>
        <v>0</v>
      </c>
      <c r="AA240" s="33">
        <f t="shared" si="36"/>
        <v>80153.03</v>
      </c>
      <c r="AB240" s="261"/>
      <c r="AC240" s="261"/>
      <c r="AD240" s="261"/>
      <c r="AE240" s="261"/>
      <c r="AF240" s="34" t="s">
        <v>308</v>
      </c>
    </row>
    <row r="241" spans="1:32" ht="15" customHeight="1" x14ac:dyDescent="0.35">
      <c r="A241" s="264"/>
      <c r="B241" s="265"/>
      <c r="C241" s="265"/>
      <c r="D241" s="70" t="s">
        <v>17</v>
      </c>
      <c r="E241" s="50" t="s">
        <v>305</v>
      </c>
      <c r="F241" s="71" t="s">
        <v>39</v>
      </c>
      <c r="G241" s="27" t="s">
        <v>40</v>
      </c>
      <c r="H241" s="27">
        <v>16</v>
      </c>
      <c r="I241" s="45">
        <v>1000</v>
      </c>
      <c r="J241" s="45">
        <v>16000</v>
      </c>
      <c r="K241" s="45">
        <v>0</v>
      </c>
      <c r="L241" s="45"/>
      <c r="M241" s="45"/>
      <c r="N241" s="45"/>
      <c r="O241" s="45"/>
      <c r="P241" s="45">
        <v>7088.6900000000005</v>
      </c>
      <c r="Q241" s="45"/>
      <c r="R241" s="45">
        <v>8911.31</v>
      </c>
      <c r="S241" s="58">
        <v>4455.6549999999997</v>
      </c>
      <c r="T241" s="58"/>
      <c r="U241" s="58">
        <v>4455.6549999999997</v>
      </c>
      <c r="V241" s="59"/>
      <c r="W241" s="31">
        <f t="shared" si="34"/>
        <v>16000</v>
      </c>
      <c r="X241" s="60" t="e">
        <f>#REF!-W241</f>
        <v>#REF!</v>
      </c>
      <c r="Y241" s="60" t="e">
        <f>#REF!-W241</f>
        <v>#REF!</v>
      </c>
      <c r="Z241" s="33">
        <f t="shared" si="35"/>
        <v>0</v>
      </c>
      <c r="AA241" s="33">
        <f t="shared" si="36"/>
        <v>0</v>
      </c>
      <c r="AB241" s="261"/>
      <c r="AC241" s="261"/>
      <c r="AD241" s="261"/>
      <c r="AE241" s="261"/>
      <c r="AF241" s="34" t="s">
        <v>309</v>
      </c>
    </row>
    <row r="242" spans="1:32" ht="15" customHeight="1" x14ac:dyDescent="0.35">
      <c r="A242" s="264"/>
      <c r="B242" s="265"/>
      <c r="C242" s="265"/>
      <c r="D242" s="70" t="s">
        <v>17</v>
      </c>
      <c r="E242" s="50" t="s">
        <v>305</v>
      </c>
      <c r="F242" s="71" t="s">
        <v>64</v>
      </c>
      <c r="G242" s="27" t="s">
        <v>86</v>
      </c>
      <c r="H242" s="27">
        <v>1</v>
      </c>
      <c r="I242" s="45">
        <v>3500</v>
      </c>
      <c r="J242" s="45">
        <v>3500</v>
      </c>
      <c r="K242" s="45">
        <v>0</v>
      </c>
      <c r="L242" s="45"/>
      <c r="M242" s="45"/>
      <c r="N242" s="45"/>
      <c r="O242" s="45"/>
      <c r="P242" s="45">
        <v>488.18</v>
      </c>
      <c r="Q242" s="45"/>
      <c r="R242" s="45">
        <v>3011.82</v>
      </c>
      <c r="S242" s="58">
        <v>3011.82</v>
      </c>
      <c r="T242" s="58"/>
      <c r="U242" s="58"/>
      <c r="V242" s="59"/>
      <c r="W242" s="31">
        <f t="shared" si="34"/>
        <v>3500</v>
      </c>
      <c r="X242" s="60" t="e">
        <f>#REF!-W242</f>
        <v>#REF!</v>
      </c>
      <c r="Y242" s="60" t="e">
        <f>#REF!-W242</f>
        <v>#REF!</v>
      </c>
      <c r="Z242" s="33">
        <f t="shared" si="35"/>
        <v>0</v>
      </c>
      <c r="AA242" s="33">
        <f t="shared" si="36"/>
        <v>0</v>
      </c>
      <c r="AB242" s="261"/>
      <c r="AC242" s="261"/>
      <c r="AD242" s="261"/>
      <c r="AE242" s="261"/>
      <c r="AF242" s="34" t="s">
        <v>310</v>
      </c>
    </row>
    <row r="243" spans="1:32" ht="15" customHeight="1" x14ac:dyDescent="0.35">
      <c r="A243" s="264"/>
      <c r="B243" s="265"/>
      <c r="C243" s="265"/>
      <c r="D243" s="70" t="s">
        <v>17</v>
      </c>
      <c r="E243" s="50" t="s">
        <v>305</v>
      </c>
      <c r="F243" s="71" t="s">
        <v>73</v>
      </c>
      <c r="G243" s="27" t="s">
        <v>62</v>
      </c>
      <c r="H243" s="27">
        <v>4</v>
      </c>
      <c r="I243" s="45">
        <v>250</v>
      </c>
      <c r="J243" s="45">
        <v>1000</v>
      </c>
      <c r="K243" s="45">
        <v>0</v>
      </c>
      <c r="L243" s="45"/>
      <c r="M243" s="45"/>
      <c r="N243" s="45"/>
      <c r="O243" s="45"/>
      <c r="P243" s="45">
        <v>3284.05</v>
      </c>
      <c r="Q243" s="45"/>
      <c r="R243" s="45">
        <v>-2284.0500000000002</v>
      </c>
      <c r="S243" s="58">
        <v>2000</v>
      </c>
      <c r="T243" s="58"/>
      <c r="U243" s="58">
        <v>2000</v>
      </c>
      <c r="V243" s="59"/>
      <c r="W243" s="31">
        <f t="shared" si="34"/>
        <v>7284.05</v>
      </c>
      <c r="X243" s="60" t="e">
        <f>#REF!-W243</f>
        <v>#REF!</v>
      </c>
      <c r="Y243" s="60" t="e">
        <f>#REF!-W243</f>
        <v>#REF!</v>
      </c>
      <c r="Z243" s="33">
        <f t="shared" si="35"/>
        <v>0</v>
      </c>
      <c r="AA243" s="33">
        <f t="shared" si="36"/>
        <v>-6284.05</v>
      </c>
      <c r="AB243" s="261"/>
      <c r="AC243" s="261"/>
      <c r="AD243" s="261"/>
      <c r="AE243" s="261"/>
      <c r="AF243" s="34" t="s">
        <v>311</v>
      </c>
    </row>
    <row r="244" spans="1:32" ht="15" customHeight="1" x14ac:dyDescent="0.35">
      <c r="A244" s="264"/>
      <c r="B244" s="265"/>
      <c r="C244" s="265"/>
      <c r="D244" s="70" t="s">
        <v>17</v>
      </c>
      <c r="E244" s="50" t="s">
        <v>305</v>
      </c>
      <c r="F244" s="71" t="s">
        <v>123</v>
      </c>
      <c r="G244" s="27" t="s">
        <v>62</v>
      </c>
      <c r="H244" s="27">
        <v>4</v>
      </c>
      <c r="I244" s="45">
        <v>3000</v>
      </c>
      <c r="J244" s="45">
        <v>12000</v>
      </c>
      <c r="K244" s="45">
        <v>0</v>
      </c>
      <c r="L244" s="45"/>
      <c r="M244" s="45"/>
      <c r="N244" s="45"/>
      <c r="O244" s="45"/>
      <c r="P244" s="45">
        <v>0</v>
      </c>
      <c r="Q244" s="45"/>
      <c r="R244" s="45">
        <v>12000</v>
      </c>
      <c r="S244" s="58">
        <v>12000</v>
      </c>
      <c r="T244" s="58"/>
      <c r="U244" s="58"/>
      <c r="V244" s="59"/>
      <c r="W244" s="31">
        <f t="shared" si="34"/>
        <v>12000</v>
      </c>
      <c r="X244" s="60" t="e">
        <f>#REF!-W244</f>
        <v>#REF!</v>
      </c>
      <c r="Y244" s="60" t="e">
        <f>#REF!-W244</f>
        <v>#REF!</v>
      </c>
      <c r="Z244" s="33">
        <f t="shared" si="35"/>
        <v>0</v>
      </c>
      <c r="AA244" s="33">
        <f t="shared" si="36"/>
        <v>0</v>
      </c>
      <c r="AB244" s="261"/>
      <c r="AC244" s="261"/>
      <c r="AD244" s="261"/>
      <c r="AE244" s="261"/>
      <c r="AF244" s="34" t="s">
        <v>312</v>
      </c>
    </row>
    <row r="245" spans="1:32" ht="15" customHeight="1" x14ac:dyDescent="0.35">
      <c r="A245" s="264"/>
      <c r="B245" s="265"/>
      <c r="C245" s="265"/>
      <c r="D245" s="70" t="s">
        <v>17</v>
      </c>
      <c r="E245" s="50" t="s">
        <v>305</v>
      </c>
      <c r="F245" s="71" t="s">
        <v>132</v>
      </c>
      <c r="G245" s="27" t="s">
        <v>86</v>
      </c>
      <c r="H245" s="27">
        <v>1</v>
      </c>
      <c r="I245" s="45">
        <v>7000</v>
      </c>
      <c r="J245" s="45">
        <v>7000</v>
      </c>
      <c r="K245" s="45">
        <v>0</v>
      </c>
      <c r="L245" s="45"/>
      <c r="M245" s="45"/>
      <c r="N245" s="45"/>
      <c r="O245" s="45"/>
      <c r="P245" s="45">
        <v>1498.58</v>
      </c>
      <c r="Q245" s="45"/>
      <c r="R245" s="45">
        <v>5501.42</v>
      </c>
      <c r="S245" s="58">
        <v>20000</v>
      </c>
      <c r="T245" s="58"/>
      <c r="U245" s="58">
        <v>26505.82</v>
      </c>
      <c r="V245" s="59"/>
      <c r="W245" s="31">
        <f t="shared" si="34"/>
        <v>48004.4</v>
      </c>
      <c r="X245" s="60" t="e">
        <f>#REF!-W245</f>
        <v>#REF!</v>
      </c>
      <c r="Y245" s="60" t="e">
        <f>#REF!-W245</f>
        <v>#REF!</v>
      </c>
      <c r="Z245" s="33">
        <f t="shared" si="35"/>
        <v>0</v>
      </c>
      <c r="AA245" s="33">
        <f t="shared" si="36"/>
        <v>-41004.400000000001</v>
      </c>
      <c r="AB245" s="261"/>
      <c r="AC245" s="261"/>
      <c r="AD245" s="261"/>
      <c r="AE245" s="261"/>
      <c r="AF245" s="34" t="s">
        <v>313</v>
      </c>
    </row>
    <row r="246" spans="1:32" ht="14.75" customHeight="1" x14ac:dyDescent="0.35">
      <c r="A246" s="264"/>
      <c r="B246" s="265"/>
      <c r="C246" s="265"/>
      <c r="D246" s="70" t="s">
        <v>17</v>
      </c>
      <c r="E246" s="50" t="s">
        <v>305</v>
      </c>
      <c r="F246" s="71" t="s">
        <v>66</v>
      </c>
      <c r="G246" s="27" t="s">
        <v>86</v>
      </c>
      <c r="H246" s="27">
        <v>4</v>
      </c>
      <c r="I246" s="45">
        <v>500</v>
      </c>
      <c r="J246" s="45">
        <v>2000</v>
      </c>
      <c r="K246" s="45">
        <v>0</v>
      </c>
      <c r="L246" s="45"/>
      <c r="M246" s="45"/>
      <c r="N246" s="45"/>
      <c r="O246" s="45"/>
      <c r="P246" s="45">
        <v>0</v>
      </c>
      <c r="Q246" s="45"/>
      <c r="R246" s="45">
        <v>2000</v>
      </c>
      <c r="S246" s="58">
        <v>1000</v>
      </c>
      <c r="T246" s="58"/>
      <c r="U246" s="58">
        <v>1000</v>
      </c>
      <c r="V246" s="59"/>
      <c r="W246" s="31">
        <f t="shared" si="34"/>
        <v>2000</v>
      </c>
      <c r="X246" s="60" t="e">
        <f>#REF!-W246</f>
        <v>#REF!</v>
      </c>
      <c r="Y246" s="60" t="e">
        <f>#REF!-W246</f>
        <v>#REF!</v>
      </c>
      <c r="Z246" s="33">
        <f t="shared" si="35"/>
        <v>0</v>
      </c>
      <c r="AA246" s="33">
        <f t="shared" si="36"/>
        <v>0</v>
      </c>
      <c r="AB246" s="262"/>
      <c r="AC246" s="262"/>
      <c r="AD246" s="261"/>
      <c r="AE246" s="261"/>
      <c r="AF246" s="34" t="s">
        <v>314</v>
      </c>
    </row>
    <row r="247" spans="1:32" ht="15" customHeight="1" x14ac:dyDescent="0.35">
      <c r="A247" s="264"/>
      <c r="B247" s="265"/>
      <c r="C247" s="73"/>
      <c r="D247" s="73"/>
      <c r="E247" s="53"/>
      <c r="F247" s="74"/>
      <c r="G247" s="41"/>
      <c r="H247" s="41"/>
      <c r="I247" s="54"/>
      <c r="J247" s="54">
        <f>SUM(J238:J246)</f>
        <v>373766</v>
      </c>
      <c r="K247" s="54">
        <f t="shared" ref="K247:AC247" si="41">SUM(K238:K246)</f>
        <v>0</v>
      </c>
      <c r="L247" s="54">
        <f t="shared" si="41"/>
        <v>23877.65</v>
      </c>
      <c r="M247" s="54">
        <f t="shared" si="41"/>
        <v>0</v>
      </c>
      <c r="N247" s="54">
        <f t="shared" si="41"/>
        <v>7680.75</v>
      </c>
      <c r="O247" s="54">
        <f t="shared" si="41"/>
        <v>0</v>
      </c>
      <c r="P247" s="54">
        <f t="shared" si="41"/>
        <v>46953.670000000006</v>
      </c>
      <c r="Q247" s="54">
        <f t="shared" si="41"/>
        <v>0</v>
      </c>
      <c r="R247" s="54">
        <f t="shared" si="41"/>
        <v>295253.93</v>
      </c>
      <c r="S247" s="54">
        <f t="shared" si="41"/>
        <v>71267.475000000006</v>
      </c>
      <c r="T247" s="54">
        <f t="shared" si="41"/>
        <v>0</v>
      </c>
      <c r="U247" s="54">
        <f t="shared" si="41"/>
        <v>148361.47500000001</v>
      </c>
      <c r="V247" s="54">
        <f t="shared" si="41"/>
        <v>0</v>
      </c>
      <c r="W247" s="54">
        <f t="shared" si="41"/>
        <v>298141.02</v>
      </c>
      <c r="X247" s="54" t="e">
        <f t="shared" si="41"/>
        <v>#REF!</v>
      </c>
      <c r="Y247" s="54" t="e">
        <f t="shared" si="41"/>
        <v>#REF!</v>
      </c>
      <c r="Z247" s="54">
        <f t="shared" si="41"/>
        <v>0</v>
      </c>
      <c r="AA247" s="54">
        <f t="shared" si="41"/>
        <v>75624.979999999981</v>
      </c>
      <c r="AB247" s="54">
        <f t="shared" si="41"/>
        <v>298141.02</v>
      </c>
      <c r="AC247" s="54">
        <f t="shared" si="41"/>
        <v>0</v>
      </c>
      <c r="AD247" s="261"/>
      <c r="AE247" s="261"/>
      <c r="AF247" s="49"/>
    </row>
    <row r="248" spans="1:32" ht="15" customHeight="1" x14ac:dyDescent="0.35">
      <c r="A248" s="264"/>
      <c r="B248" s="265"/>
      <c r="C248" s="265" t="s">
        <v>315</v>
      </c>
      <c r="D248" s="70" t="s">
        <v>17</v>
      </c>
      <c r="E248" s="50" t="s">
        <v>316</v>
      </c>
      <c r="F248" s="71" t="s">
        <v>28</v>
      </c>
      <c r="G248" s="27" t="s">
        <v>29</v>
      </c>
      <c r="H248" s="27">
        <v>78</v>
      </c>
      <c r="I248" s="45">
        <v>1359</v>
      </c>
      <c r="J248" s="45">
        <v>131466</v>
      </c>
      <c r="K248" s="45">
        <v>0</v>
      </c>
      <c r="L248" s="45">
        <v>23606.95</v>
      </c>
      <c r="M248" s="45"/>
      <c r="N248" s="45">
        <v>25339.52</v>
      </c>
      <c r="O248" s="45"/>
      <c r="P248" s="45">
        <v>9064.9599999999991</v>
      </c>
      <c r="Q248" s="45"/>
      <c r="R248" s="45">
        <v>73454.570000000007</v>
      </c>
      <c r="S248" s="36">
        <v>24000</v>
      </c>
      <c r="T248" s="36"/>
      <c r="U248" s="36">
        <v>28000</v>
      </c>
      <c r="V248" s="30"/>
      <c r="W248" s="31">
        <f t="shared" si="34"/>
        <v>110011.43</v>
      </c>
      <c r="X248" s="32" t="e">
        <f>#REF!-W248</f>
        <v>#REF!</v>
      </c>
      <c r="Y248" s="32" t="e">
        <f>#REF!-W248</f>
        <v>#REF!</v>
      </c>
      <c r="Z248" s="33">
        <f t="shared" si="35"/>
        <v>0</v>
      </c>
      <c r="AA248" s="33">
        <f t="shared" si="36"/>
        <v>21454.570000000007</v>
      </c>
      <c r="AB248" s="260">
        <f>SUM(W248:W261)</f>
        <v>303116</v>
      </c>
      <c r="AC248" s="260">
        <f>SUM(Z248:Z261)</f>
        <v>0</v>
      </c>
      <c r="AD248" s="261"/>
      <c r="AE248" s="261"/>
      <c r="AF248" s="34" t="s">
        <v>317</v>
      </c>
    </row>
    <row r="249" spans="1:32" ht="15" customHeight="1" x14ac:dyDescent="0.35">
      <c r="A249" s="264"/>
      <c r="B249" s="265"/>
      <c r="C249" s="265"/>
      <c r="D249" s="70" t="s">
        <v>17</v>
      </c>
      <c r="E249" s="50" t="s">
        <v>316</v>
      </c>
      <c r="F249" s="71" t="s">
        <v>57</v>
      </c>
      <c r="G249" s="27" t="s">
        <v>58</v>
      </c>
      <c r="H249" s="27">
        <v>15</v>
      </c>
      <c r="I249" s="45">
        <v>600</v>
      </c>
      <c r="J249" s="45">
        <v>9000</v>
      </c>
      <c r="K249" s="45">
        <v>0</v>
      </c>
      <c r="L249" s="45"/>
      <c r="M249" s="45"/>
      <c r="N249" s="45"/>
      <c r="O249" s="45"/>
      <c r="P249" s="45">
        <v>0</v>
      </c>
      <c r="Q249" s="45"/>
      <c r="R249" s="45">
        <v>9000</v>
      </c>
      <c r="S249" s="36">
        <v>0</v>
      </c>
      <c r="T249" s="36"/>
      <c r="U249" s="36">
        <v>65000</v>
      </c>
      <c r="V249" s="30"/>
      <c r="W249" s="31">
        <f t="shared" si="34"/>
        <v>65000</v>
      </c>
      <c r="X249" s="32" t="e">
        <f>#REF!-W249</f>
        <v>#REF!</v>
      </c>
      <c r="Y249" s="32" t="e">
        <f>#REF!-W249</f>
        <v>#REF!</v>
      </c>
      <c r="Z249" s="33">
        <f t="shared" si="35"/>
        <v>0</v>
      </c>
      <c r="AA249" s="33">
        <f t="shared" si="36"/>
        <v>-56000</v>
      </c>
      <c r="AB249" s="261"/>
      <c r="AC249" s="261"/>
      <c r="AD249" s="261"/>
      <c r="AE249" s="261"/>
      <c r="AF249" s="34" t="s">
        <v>318</v>
      </c>
    </row>
    <row r="250" spans="1:32" ht="15" customHeight="1" x14ac:dyDescent="0.35">
      <c r="A250" s="264"/>
      <c r="B250" s="265"/>
      <c r="C250" s="265"/>
      <c r="D250" s="70" t="s">
        <v>17</v>
      </c>
      <c r="E250" s="50" t="s">
        <v>316</v>
      </c>
      <c r="F250" s="71" t="s">
        <v>36</v>
      </c>
      <c r="G250" s="27" t="s">
        <v>37</v>
      </c>
      <c r="H250" s="27">
        <v>1</v>
      </c>
      <c r="I250" s="45">
        <v>3750</v>
      </c>
      <c r="J250" s="45">
        <v>3750</v>
      </c>
      <c r="K250" s="45">
        <v>0</v>
      </c>
      <c r="L250" s="45"/>
      <c r="M250" s="45"/>
      <c r="N250" s="45"/>
      <c r="O250" s="45"/>
      <c r="P250" s="45">
        <v>0</v>
      </c>
      <c r="Q250" s="45"/>
      <c r="R250" s="45">
        <v>3750</v>
      </c>
      <c r="S250" s="75">
        <v>0</v>
      </c>
      <c r="T250" s="75"/>
      <c r="U250" s="36">
        <v>10000</v>
      </c>
      <c r="V250" s="30"/>
      <c r="W250" s="31">
        <f t="shared" si="34"/>
        <v>10000</v>
      </c>
      <c r="X250" s="32" t="e">
        <f>#REF!-W250</f>
        <v>#REF!</v>
      </c>
      <c r="Y250" s="32" t="e">
        <f>#REF!-W250</f>
        <v>#REF!</v>
      </c>
      <c r="Z250" s="33">
        <f t="shared" si="35"/>
        <v>0</v>
      </c>
      <c r="AA250" s="33">
        <f t="shared" si="36"/>
        <v>-6250</v>
      </c>
      <c r="AB250" s="261"/>
      <c r="AC250" s="261"/>
      <c r="AD250" s="261"/>
      <c r="AE250" s="261"/>
      <c r="AF250" s="34" t="s">
        <v>319</v>
      </c>
    </row>
    <row r="251" spans="1:32" ht="15" customHeight="1" x14ac:dyDescent="0.35">
      <c r="A251" s="264"/>
      <c r="B251" s="265"/>
      <c r="C251" s="265"/>
      <c r="D251" s="70" t="s">
        <v>17</v>
      </c>
      <c r="E251" s="50" t="s">
        <v>316</v>
      </c>
      <c r="F251" s="71" t="s">
        <v>64</v>
      </c>
      <c r="G251" s="27" t="s">
        <v>62</v>
      </c>
      <c r="H251" s="27">
        <v>1</v>
      </c>
      <c r="I251" s="45">
        <v>3000</v>
      </c>
      <c r="J251" s="45">
        <v>3000</v>
      </c>
      <c r="K251" s="45">
        <v>0</v>
      </c>
      <c r="L251" s="45"/>
      <c r="M251" s="45"/>
      <c r="N251" s="45"/>
      <c r="O251" s="45"/>
      <c r="P251" s="45">
        <v>0</v>
      </c>
      <c r="Q251" s="45"/>
      <c r="R251" s="45">
        <v>3000</v>
      </c>
      <c r="S251" s="36">
        <v>45000</v>
      </c>
      <c r="T251" s="36"/>
      <c r="U251" s="36"/>
      <c r="V251" s="30"/>
      <c r="W251" s="31">
        <f t="shared" si="34"/>
        <v>45000</v>
      </c>
      <c r="X251" s="32" t="e">
        <f>#REF!-W251</f>
        <v>#REF!</v>
      </c>
      <c r="Y251" s="32" t="e">
        <f>#REF!-W251</f>
        <v>#REF!</v>
      </c>
      <c r="Z251" s="33">
        <f t="shared" si="35"/>
        <v>0</v>
      </c>
      <c r="AA251" s="33">
        <f t="shared" si="36"/>
        <v>-42000</v>
      </c>
      <c r="AB251" s="261"/>
      <c r="AC251" s="261"/>
      <c r="AD251" s="261"/>
      <c r="AE251" s="261"/>
      <c r="AF251" s="34" t="s">
        <v>320</v>
      </c>
    </row>
    <row r="252" spans="1:32" ht="15" customHeight="1" x14ac:dyDescent="0.35">
      <c r="A252" s="264"/>
      <c r="B252" s="265"/>
      <c r="C252" s="265"/>
      <c r="D252" s="70" t="s">
        <v>17</v>
      </c>
      <c r="E252" s="50" t="s">
        <v>316</v>
      </c>
      <c r="F252" s="71" t="s">
        <v>71</v>
      </c>
      <c r="G252" s="27" t="s">
        <v>62</v>
      </c>
      <c r="H252" s="27">
        <v>1</v>
      </c>
      <c r="I252" s="45">
        <v>5000</v>
      </c>
      <c r="J252" s="45">
        <v>5000</v>
      </c>
      <c r="K252" s="45">
        <v>0</v>
      </c>
      <c r="L252" s="45"/>
      <c r="M252" s="45"/>
      <c r="N252" s="45"/>
      <c r="O252" s="45"/>
      <c r="P252" s="45">
        <v>0</v>
      </c>
      <c r="Q252" s="45"/>
      <c r="R252" s="45">
        <v>5000</v>
      </c>
      <c r="S252" s="36"/>
      <c r="T252" s="36"/>
      <c r="U252" s="36">
        <v>5000</v>
      </c>
      <c r="V252" s="30"/>
      <c r="W252" s="31">
        <f t="shared" si="34"/>
        <v>5000</v>
      </c>
      <c r="X252" s="32" t="e">
        <f>#REF!-W252</f>
        <v>#REF!</v>
      </c>
      <c r="Y252" s="32" t="e">
        <f>#REF!-W252</f>
        <v>#REF!</v>
      </c>
      <c r="Z252" s="33">
        <f t="shared" si="35"/>
        <v>0</v>
      </c>
      <c r="AA252" s="33">
        <f t="shared" si="36"/>
        <v>0</v>
      </c>
      <c r="AB252" s="261"/>
      <c r="AC252" s="261"/>
      <c r="AD252" s="261"/>
      <c r="AE252" s="261"/>
      <c r="AF252" s="34" t="s">
        <v>321</v>
      </c>
    </row>
    <row r="253" spans="1:32" ht="15" customHeight="1" x14ac:dyDescent="0.35">
      <c r="A253" s="264"/>
      <c r="B253" s="265"/>
      <c r="C253" s="265"/>
      <c r="D253" s="70" t="s">
        <v>17</v>
      </c>
      <c r="E253" s="50" t="s">
        <v>316</v>
      </c>
      <c r="F253" s="71" t="s">
        <v>69</v>
      </c>
      <c r="G253" s="27" t="s">
        <v>37</v>
      </c>
      <c r="H253" s="27">
        <v>11</v>
      </c>
      <c r="I253" s="45">
        <v>1100</v>
      </c>
      <c r="J253" s="45">
        <v>16500</v>
      </c>
      <c r="K253" s="45">
        <v>0</v>
      </c>
      <c r="L253" s="45"/>
      <c r="M253" s="45"/>
      <c r="N253" s="45"/>
      <c r="O253" s="45"/>
      <c r="P253" s="45">
        <v>0</v>
      </c>
      <c r="Q253" s="45"/>
      <c r="R253" s="45">
        <v>16500</v>
      </c>
      <c r="S253" s="36">
        <v>12000</v>
      </c>
      <c r="T253" s="36"/>
      <c r="U253" s="36">
        <v>12000</v>
      </c>
      <c r="V253" s="30"/>
      <c r="W253" s="31">
        <f t="shared" si="34"/>
        <v>24000</v>
      </c>
      <c r="X253" s="32" t="e">
        <f>#REF!-W253</f>
        <v>#REF!</v>
      </c>
      <c r="Y253" s="32" t="e">
        <f>#REF!-W253</f>
        <v>#REF!</v>
      </c>
      <c r="Z253" s="33">
        <f t="shared" si="35"/>
        <v>0</v>
      </c>
      <c r="AA253" s="33">
        <f t="shared" si="36"/>
        <v>-7500</v>
      </c>
      <c r="AB253" s="261"/>
      <c r="AC253" s="261"/>
      <c r="AD253" s="261"/>
      <c r="AE253" s="261"/>
      <c r="AF253" s="34" t="s">
        <v>322</v>
      </c>
    </row>
    <row r="254" spans="1:32" ht="15" customHeight="1" x14ac:dyDescent="0.35">
      <c r="A254" s="264"/>
      <c r="B254" s="265"/>
      <c r="C254" s="265"/>
      <c r="D254" s="70" t="s">
        <v>17</v>
      </c>
      <c r="E254" s="50" t="s">
        <v>316</v>
      </c>
      <c r="F254" s="71" t="s">
        <v>69</v>
      </c>
      <c r="G254" s="27" t="s">
        <v>37</v>
      </c>
      <c r="H254" s="27">
        <v>10</v>
      </c>
      <c r="I254" s="45">
        <v>350</v>
      </c>
      <c r="J254" s="45">
        <v>3500</v>
      </c>
      <c r="K254" s="45">
        <v>0</v>
      </c>
      <c r="L254" s="45"/>
      <c r="M254" s="45"/>
      <c r="N254" s="45"/>
      <c r="O254" s="45"/>
      <c r="P254" s="45">
        <v>0</v>
      </c>
      <c r="Q254" s="45">
        <v>0</v>
      </c>
      <c r="R254" s="45">
        <v>3500</v>
      </c>
      <c r="S254" s="36"/>
      <c r="T254" s="36">
        <v>0</v>
      </c>
      <c r="U254" s="36">
        <v>7500</v>
      </c>
      <c r="V254" s="30">
        <v>0</v>
      </c>
      <c r="W254" s="31">
        <f t="shared" si="34"/>
        <v>7500</v>
      </c>
      <c r="X254" s="32" t="e">
        <f>#REF!-W254</f>
        <v>#REF!</v>
      </c>
      <c r="Y254" s="32" t="e">
        <f>#REF!-W254</f>
        <v>#REF!</v>
      </c>
      <c r="Z254" s="33">
        <f>M254+O254+Q254+T254+V254</f>
        <v>0</v>
      </c>
      <c r="AA254" s="33">
        <f t="shared" si="36"/>
        <v>-4000</v>
      </c>
      <c r="AB254" s="261"/>
      <c r="AC254" s="261"/>
      <c r="AD254" s="261"/>
      <c r="AE254" s="261"/>
      <c r="AF254" s="34" t="s">
        <v>323</v>
      </c>
    </row>
    <row r="255" spans="1:32" ht="15" customHeight="1" x14ac:dyDescent="0.35">
      <c r="A255" s="264"/>
      <c r="B255" s="265"/>
      <c r="C255" s="265"/>
      <c r="D255" s="70" t="s">
        <v>17</v>
      </c>
      <c r="E255" s="50" t="s">
        <v>316</v>
      </c>
      <c r="F255" s="71" t="s">
        <v>39</v>
      </c>
      <c r="G255" s="27" t="s">
        <v>40</v>
      </c>
      <c r="H255" s="27">
        <v>1</v>
      </c>
      <c r="I255" s="45">
        <v>14250</v>
      </c>
      <c r="J255" s="45">
        <v>14250</v>
      </c>
      <c r="K255" s="45">
        <v>0</v>
      </c>
      <c r="L255" s="45"/>
      <c r="M255" s="45"/>
      <c r="N255" s="45"/>
      <c r="O255" s="45"/>
      <c r="P255" s="45">
        <v>0</v>
      </c>
      <c r="Q255" s="45"/>
      <c r="R255" s="45">
        <v>14250</v>
      </c>
      <c r="S255" s="36"/>
      <c r="T255" s="36"/>
      <c r="U255" s="36">
        <v>14250</v>
      </c>
      <c r="V255" s="30"/>
      <c r="W255" s="31">
        <f t="shared" si="34"/>
        <v>14250</v>
      </c>
      <c r="X255" s="32" t="e">
        <f>#REF!-W255</f>
        <v>#REF!</v>
      </c>
      <c r="Y255" s="32" t="e">
        <f>#REF!-W255</f>
        <v>#REF!</v>
      </c>
      <c r="Z255" s="33">
        <f t="shared" si="35"/>
        <v>0</v>
      </c>
      <c r="AA255" s="33">
        <f t="shared" si="36"/>
        <v>0</v>
      </c>
      <c r="AB255" s="261"/>
      <c r="AC255" s="261"/>
      <c r="AD255" s="261"/>
      <c r="AE255" s="261"/>
      <c r="AF255" s="34" t="s">
        <v>324</v>
      </c>
    </row>
    <row r="256" spans="1:32" ht="15" customHeight="1" x14ac:dyDescent="0.35">
      <c r="A256" s="264"/>
      <c r="B256" s="265"/>
      <c r="C256" s="265"/>
      <c r="D256" s="70" t="s">
        <v>17</v>
      </c>
      <c r="E256" s="50" t="s">
        <v>316</v>
      </c>
      <c r="F256" s="71" t="s">
        <v>39</v>
      </c>
      <c r="G256" s="27" t="s">
        <v>40</v>
      </c>
      <c r="H256" s="27">
        <v>1</v>
      </c>
      <c r="I256" s="45">
        <v>9900</v>
      </c>
      <c r="J256" s="45">
        <v>9900</v>
      </c>
      <c r="K256" s="45">
        <v>0</v>
      </c>
      <c r="L256" s="45"/>
      <c r="M256" s="45"/>
      <c r="N256" s="45"/>
      <c r="O256" s="45"/>
      <c r="P256" s="45">
        <v>0</v>
      </c>
      <c r="Q256" s="45"/>
      <c r="R256" s="45">
        <v>9900</v>
      </c>
      <c r="S256" s="36"/>
      <c r="T256" s="36"/>
      <c r="U256" s="36">
        <v>2000</v>
      </c>
      <c r="V256" s="30"/>
      <c r="W256" s="31">
        <f t="shared" si="34"/>
        <v>2000</v>
      </c>
      <c r="X256" s="32" t="e">
        <f>#REF!-W256</f>
        <v>#REF!</v>
      </c>
      <c r="Y256" s="32" t="e">
        <f>#REF!-W256</f>
        <v>#REF!</v>
      </c>
      <c r="Z256" s="33">
        <f t="shared" si="35"/>
        <v>0</v>
      </c>
      <c r="AA256" s="33">
        <f t="shared" si="36"/>
        <v>7900</v>
      </c>
      <c r="AB256" s="261"/>
      <c r="AC256" s="261"/>
      <c r="AD256" s="261"/>
      <c r="AE256" s="261"/>
      <c r="AF256" s="34" t="s">
        <v>325</v>
      </c>
    </row>
    <row r="257" spans="1:32" ht="15" customHeight="1" x14ac:dyDescent="0.35">
      <c r="A257" s="264"/>
      <c r="B257" s="265"/>
      <c r="C257" s="265"/>
      <c r="D257" s="70" t="s">
        <v>17</v>
      </c>
      <c r="E257" s="50" t="s">
        <v>316</v>
      </c>
      <c r="F257" s="71" t="s">
        <v>39</v>
      </c>
      <c r="G257" s="27" t="s">
        <v>40</v>
      </c>
      <c r="H257" s="27">
        <v>1</v>
      </c>
      <c r="I257" s="45">
        <v>14250</v>
      </c>
      <c r="J257" s="45">
        <v>14250</v>
      </c>
      <c r="K257" s="45">
        <v>0</v>
      </c>
      <c r="L257" s="45"/>
      <c r="M257" s="45"/>
      <c r="N257" s="45"/>
      <c r="O257" s="45"/>
      <c r="P257" s="45">
        <v>0</v>
      </c>
      <c r="Q257" s="45"/>
      <c r="R257" s="45">
        <v>14250</v>
      </c>
      <c r="S257" s="36"/>
      <c r="T257" s="36"/>
      <c r="U257" s="36">
        <v>14250</v>
      </c>
      <c r="V257" s="30"/>
      <c r="W257" s="31">
        <f t="shared" si="34"/>
        <v>14250</v>
      </c>
      <c r="X257" s="32" t="e">
        <f>#REF!-W257</f>
        <v>#REF!</v>
      </c>
      <c r="Y257" s="32" t="e">
        <f>#REF!-W257</f>
        <v>#REF!</v>
      </c>
      <c r="Z257" s="33">
        <f t="shared" si="35"/>
        <v>0</v>
      </c>
      <c r="AA257" s="33">
        <f t="shared" si="36"/>
        <v>0</v>
      </c>
      <c r="AB257" s="261"/>
      <c r="AC257" s="261"/>
      <c r="AD257" s="261"/>
      <c r="AE257" s="261"/>
      <c r="AF257" s="34" t="s">
        <v>326</v>
      </c>
    </row>
    <row r="258" spans="1:32" ht="15" customHeight="1" x14ac:dyDescent="0.35">
      <c r="A258" s="264"/>
      <c r="B258" s="265"/>
      <c r="C258" s="265"/>
      <c r="D258" s="70" t="s">
        <v>17</v>
      </c>
      <c r="E258" s="50" t="s">
        <v>316</v>
      </c>
      <c r="F258" s="71" t="s">
        <v>123</v>
      </c>
      <c r="G258" s="27" t="s">
        <v>62</v>
      </c>
      <c r="H258" s="27">
        <v>3</v>
      </c>
      <c r="I258" s="45">
        <v>1000</v>
      </c>
      <c r="J258" s="45">
        <v>3000</v>
      </c>
      <c r="K258" s="45">
        <v>0</v>
      </c>
      <c r="L258" s="45"/>
      <c r="M258" s="45"/>
      <c r="N258" s="45"/>
      <c r="O258" s="45"/>
      <c r="P258" s="45">
        <v>0</v>
      </c>
      <c r="Q258" s="45"/>
      <c r="R258" s="45">
        <v>3000</v>
      </c>
      <c r="S258" s="36"/>
      <c r="T258" s="36"/>
      <c r="U258" s="36">
        <v>3000</v>
      </c>
      <c r="V258" s="30"/>
      <c r="W258" s="31">
        <f t="shared" si="34"/>
        <v>3000</v>
      </c>
      <c r="X258" s="32" t="e">
        <f>#REF!-W258</f>
        <v>#REF!</v>
      </c>
      <c r="Y258" s="32" t="e">
        <f>#REF!-W258</f>
        <v>#REF!</v>
      </c>
      <c r="Z258" s="33">
        <f t="shared" si="35"/>
        <v>0</v>
      </c>
      <c r="AA258" s="33">
        <f t="shared" si="36"/>
        <v>0</v>
      </c>
      <c r="AB258" s="261"/>
      <c r="AC258" s="261"/>
      <c r="AD258" s="261"/>
      <c r="AE258" s="261"/>
      <c r="AF258" s="34" t="s">
        <v>327</v>
      </c>
    </row>
    <row r="259" spans="1:32" ht="15" customHeight="1" x14ac:dyDescent="0.35">
      <c r="A259" s="264"/>
      <c r="B259" s="265"/>
      <c r="C259" s="265"/>
      <c r="D259" s="70" t="s">
        <v>17</v>
      </c>
      <c r="E259" s="50" t="s">
        <v>316</v>
      </c>
      <c r="F259" s="71" t="s">
        <v>73</v>
      </c>
      <c r="G259" s="27" t="s">
        <v>62</v>
      </c>
      <c r="H259" s="27">
        <v>4</v>
      </c>
      <c r="I259" s="45">
        <v>250</v>
      </c>
      <c r="J259" s="45">
        <v>1000</v>
      </c>
      <c r="K259" s="45">
        <v>0</v>
      </c>
      <c r="L259" s="45"/>
      <c r="M259" s="45"/>
      <c r="N259" s="45"/>
      <c r="O259" s="45"/>
      <c r="P259" s="45">
        <v>0</v>
      </c>
      <c r="Q259" s="45"/>
      <c r="R259" s="45">
        <v>1000</v>
      </c>
      <c r="S259" s="36">
        <v>1604.57</v>
      </c>
      <c r="T259" s="36"/>
      <c r="U259" s="36">
        <v>1500</v>
      </c>
      <c r="V259" s="30"/>
      <c r="W259" s="31">
        <f t="shared" si="34"/>
        <v>3104.5699999999997</v>
      </c>
      <c r="X259" s="32" t="e">
        <f>#REF!-W259</f>
        <v>#REF!</v>
      </c>
      <c r="Y259" s="32" t="e">
        <f>#REF!-W259</f>
        <v>#REF!</v>
      </c>
      <c r="Z259" s="33">
        <f t="shared" si="35"/>
        <v>0</v>
      </c>
      <c r="AA259" s="33">
        <f t="shared" si="36"/>
        <v>-2104.5699999999997</v>
      </c>
      <c r="AB259" s="261"/>
      <c r="AC259" s="261"/>
      <c r="AD259" s="261"/>
      <c r="AE259" s="261"/>
      <c r="AF259" s="34" t="s">
        <v>328</v>
      </c>
    </row>
    <row r="260" spans="1:32" ht="15" customHeight="1" x14ac:dyDescent="0.35">
      <c r="A260" s="264"/>
      <c r="B260" s="265"/>
      <c r="C260" s="265"/>
      <c r="D260" s="70" t="s">
        <v>17</v>
      </c>
      <c r="E260" s="50" t="s">
        <v>316</v>
      </c>
      <c r="F260" s="71" t="s">
        <v>329</v>
      </c>
      <c r="G260" s="27" t="s">
        <v>62</v>
      </c>
      <c r="H260" s="27">
        <v>4</v>
      </c>
      <c r="I260" s="45">
        <v>1000</v>
      </c>
      <c r="J260" s="45">
        <v>4000</v>
      </c>
      <c r="K260" s="45">
        <v>0</v>
      </c>
      <c r="L260" s="45"/>
      <c r="M260" s="45"/>
      <c r="N260" s="45"/>
      <c r="O260" s="45"/>
      <c r="P260" s="45">
        <v>0</v>
      </c>
      <c r="Q260" s="45"/>
      <c r="R260" s="45">
        <v>4000</v>
      </c>
      <c r="S260" s="36"/>
      <c r="T260" s="36"/>
      <c r="U260" s="36"/>
      <c r="V260" s="30"/>
      <c r="W260" s="31">
        <f t="shared" si="34"/>
        <v>0</v>
      </c>
      <c r="X260" s="32" t="e">
        <f>#REF!-W260</f>
        <v>#REF!</v>
      </c>
      <c r="Y260" s="32" t="e">
        <f>#REF!-W260</f>
        <v>#REF!</v>
      </c>
      <c r="Z260" s="33">
        <f t="shared" si="35"/>
        <v>0</v>
      </c>
      <c r="AA260" s="33">
        <f t="shared" si="36"/>
        <v>4000</v>
      </c>
      <c r="AB260" s="261"/>
      <c r="AC260" s="261"/>
      <c r="AD260" s="261"/>
      <c r="AE260" s="261"/>
      <c r="AF260" s="34" t="s">
        <v>330</v>
      </c>
    </row>
    <row r="261" spans="1:32" ht="15" customHeight="1" x14ac:dyDescent="0.35">
      <c r="A261" s="264"/>
      <c r="B261" s="265"/>
      <c r="C261" s="70"/>
      <c r="D261" s="70"/>
      <c r="E261" s="50"/>
      <c r="F261" s="71"/>
      <c r="G261" s="27"/>
      <c r="H261" s="27"/>
      <c r="I261" s="45"/>
      <c r="J261" s="45"/>
      <c r="K261" s="45"/>
      <c r="L261" s="45"/>
      <c r="M261" s="45"/>
      <c r="N261" s="45"/>
      <c r="O261" s="45"/>
      <c r="P261" s="45"/>
      <c r="Q261" s="45"/>
      <c r="R261" s="45"/>
      <c r="S261" s="36"/>
      <c r="T261" s="36"/>
      <c r="U261" s="36"/>
      <c r="V261" s="30"/>
      <c r="W261" s="31">
        <f t="shared" si="34"/>
        <v>0</v>
      </c>
      <c r="X261" s="32"/>
      <c r="Y261" s="32"/>
      <c r="Z261" s="33">
        <f t="shared" si="35"/>
        <v>0</v>
      </c>
      <c r="AA261" s="33">
        <f t="shared" si="36"/>
        <v>0</v>
      </c>
      <c r="AB261" s="262"/>
      <c r="AC261" s="262"/>
      <c r="AD261" s="261"/>
      <c r="AE261" s="261"/>
      <c r="AF261" s="34"/>
    </row>
    <row r="262" spans="1:32" ht="15" customHeight="1" x14ac:dyDescent="0.35">
      <c r="A262" s="264"/>
      <c r="B262" s="265"/>
      <c r="C262" s="73"/>
      <c r="D262" s="73"/>
      <c r="E262" s="53"/>
      <c r="F262" s="74"/>
      <c r="G262" s="41"/>
      <c r="H262" s="41"/>
      <c r="I262" s="54"/>
      <c r="J262" s="54">
        <f>SUM(J248:J260)</f>
        <v>218616</v>
      </c>
      <c r="K262" s="54">
        <f t="shared" ref="K262:AC262" si="42">SUM(K248:K260)</f>
        <v>0</v>
      </c>
      <c r="L262" s="54">
        <f t="shared" si="42"/>
        <v>23606.95</v>
      </c>
      <c r="M262" s="54">
        <f t="shared" si="42"/>
        <v>0</v>
      </c>
      <c r="N262" s="54">
        <f t="shared" si="42"/>
        <v>25339.52</v>
      </c>
      <c r="O262" s="54">
        <f t="shared" si="42"/>
        <v>0</v>
      </c>
      <c r="P262" s="54">
        <f t="shared" si="42"/>
        <v>9064.9599999999991</v>
      </c>
      <c r="Q262" s="54">
        <f t="shared" si="42"/>
        <v>0</v>
      </c>
      <c r="R262" s="54">
        <f t="shared" si="42"/>
        <v>160604.57</v>
      </c>
      <c r="S262" s="54">
        <f t="shared" si="42"/>
        <v>82604.570000000007</v>
      </c>
      <c r="T262" s="54">
        <f t="shared" si="42"/>
        <v>0</v>
      </c>
      <c r="U262" s="54">
        <f t="shared" si="42"/>
        <v>162500</v>
      </c>
      <c r="V262" s="54">
        <f t="shared" si="42"/>
        <v>0</v>
      </c>
      <c r="W262" s="54">
        <f t="shared" si="42"/>
        <v>303116</v>
      </c>
      <c r="X262" s="54" t="e">
        <f t="shared" si="42"/>
        <v>#REF!</v>
      </c>
      <c r="Y262" s="54" t="e">
        <f t="shared" si="42"/>
        <v>#REF!</v>
      </c>
      <c r="Z262" s="54">
        <f t="shared" si="42"/>
        <v>0</v>
      </c>
      <c r="AA262" s="54">
        <f t="shared" si="42"/>
        <v>-84500</v>
      </c>
      <c r="AB262" s="54">
        <f t="shared" si="42"/>
        <v>303116</v>
      </c>
      <c r="AC262" s="54">
        <f t="shared" si="42"/>
        <v>0</v>
      </c>
      <c r="AD262" s="261"/>
      <c r="AE262" s="261"/>
      <c r="AF262" s="49"/>
    </row>
    <row r="263" spans="1:32" ht="15" customHeight="1" x14ac:dyDescent="0.35">
      <c r="A263" s="264"/>
      <c r="B263" s="265"/>
      <c r="C263" s="265" t="s">
        <v>331</v>
      </c>
      <c r="D263" s="70" t="s">
        <v>17</v>
      </c>
      <c r="E263" s="50" t="s">
        <v>332</v>
      </c>
      <c r="F263" s="71" t="s">
        <v>28</v>
      </c>
      <c r="G263" s="27" t="s">
        <v>29</v>
      </c>
      <c r="H263" s="27">
        <v>78</v>
      </c>
      <c r="I263" s="45">
        <v>1359</v>
      </c>
      <c r="J263" s="45">
        <v>131466</v>
      </c>
      <c r="K263" s="45">
        <v>0</v>
      </c>
      <c r="L263" s="45">
        <v>22337.200000000001</v>
      </c>
      <c r="M263" s="45"/>
      <c r="N263" s="45">
        <v>25339.56</v>
      </c>
      <c r="O263" s="45"/>
      <c r="P263" s="45">
        <v>25339.55</v>
      </c>
      <c r="Q263" s="45"/>
      <c r="R263" s="45">
        <v>58449.69</v>
      </c>
      <c r="S263" s="61">
        <v>24000</v>
      </c>
      <c r="T263" s="61"/>
      <c r="U263" s="61">
        <v>28000</v>
      </c>
      <c r="V263" s="62"/>
      <c r="W263" s="31">
        <f t="shared" si="34"/>
        <v>125016.31</v>
      </c>
      <c r="X263" s="76" t="e">
        <f>#REF!-W263</f>
        <v>#REF!</v>
      </c>
      <c r="Y263" s="32" t="e">
        <f>#REF!-W263</f>
        <v>#REF!</v>
      </c>
      <c r="Z263" s="33">
        <f t="shared" si="35"/>
        <v>0</v>
      </c>
      <c r="AA263" s="33">
        <f t="shared" si="36"/>
        <v>6449.6900000000023</v>
      </c>
      <c r="AB263" s="260">
        <f>SUM(W263:W275)</f>
        <v>247448.69</v>
      </c>
      <c r="AC263" s="260">
        <f>SUM(Z263:Z275)</f>
        <v>2000</v>
      </c>
      <c r="AD263" s="261"/>
      <c r="AE263" s="261"/>
      <c r="AF263" s="34" t="s">
        <v>333</v>
      </c>
    </row>
    <row r="264" spans="1:32" ht="15" customHeight="1" x14ac:dyDescent="0.35">
      <c r="A264" s="264"/>
      <c r="B264" s="265"/>
      <c r="C264" s="265"/>
      <c r="D264" s="70" t="s">
        <v>17</v>
      </c>
      <c r="E264" s="50" t="s">
        <v>332</v>
      </c>
      <c r="F264" s="71" t="s">
        <v>120</v>
      </c>
      <c r="G264" s="27" t="s">
        <v>58</v>
      </c>
      <c r="H264" s="27">
        <v>100</v>
      </c>
      <c r="I264" s="45">
        <v>250</v>
      </c>
      <c r="J264" s="45">
        <v>25000</v>
      </c>
      <c r="K264" s="45">
        <v>0</v>
      </c>
      <c r="L264" s="45"/>
      <c r="M264" s="45"/>
      <c r="N264" s="45"/>
      <c r="O264" s="45"/>
      <c r="P264" s="45">
        <v>160.82</v>
      </c>
      <c r="Q264" s="45"/>
      <c r="R264" s="45">
        <v>24839.18</v>
      </c>
      <c r="S264" s="61">
        <v>3813.71</v>
      </c>
      <c r="T264" s="61"/>
      <c r="U264" s="61"/>
      <c r="V264" s="62"/>
      <c r="W264" s="31">
        <f t="shared" si="34"/>
        <v>3974.53</v>
      </c>
      <c r="X264" s="76" t="e">
        <f>#REF!-W264</f>
        <v>#REF!</v>
      </c>
      <c r="Y264" s="32" t="e">
        <f>#REF!-W264</f>
        <v>#REF!</v>
      </c>
      <c r="Z264" s="33">
        <f t="shared" si="35"/>
        <v>0</v>
      </c>
      <c r="AA264" s="33">
        <f t="shared" si="36"/>
        <v>21025.47</v>
      </c>
      <c r="AB264" s="261"/>
      <c r="AC264" s="261"/>
      <c r="AD264" s="261"/>
      <c r="AE264" s="261"/>
      <c r="AF264" s="34" t="s">
        <v>334</v>
      </c>
    </row>
    <row r="265" spans="1:32" ht="15" customHeight="1" x14ac:dyDescent="0.35">
      <c r="A265" s="264"/>
      <c r="B265" s="265"/>
      <c r="C265" s="265"/>
      <c r="D265" s="189" t="s">
        <v>17</v>
      </c>
      <c r="E265" s="180" t="s">
        <v>332</v>
      </c>
      <c r="F265" s="190" t="s">
        <v>118</v>
      </c>
      <c r="G265" s="182"/>
      <c r="H265" s="182"/>
      <c r="I265" s="186"/>
      <c r="J265" s="186"/>
      <c r="K265" s="186"/>
      <c r="L265" s="186"/>
      <c r="M265" s="186"/>
      <c r="N265" s="186"/>
      <c r="O265" s="186"/>
      <c r="P265" s="186"/>
      <c r="Q265" s="186"/>
      <c r="R265" s="186">
        <v>0</v>
      </c>
      <c r="S265" s="184">
        <v>30000</v>
      </c>
      <c r="T265" s="184"/>
      <c r="U265" s="184">
        <v>30000</v>
      </c>
      <c r="V265" s="185"/>
      <c r="W265" s="31">
        <f t="shared" si="34"/>
        <v>60000</v>
      </c>
      <c r="X265" s="76" t="e">
        <f>#REF!-W265</f>
        <v>#REF!</v>
      </c>
      <c r="Y265" s="32" t="e">
        <f>#REF!-W265</f>
        <v>#REF!</v>
      </c>
      <c r="Z265" s="33">
        <f t="shared" si="35"/>
        <v>0</v>
      </c>
      <c r="AA265" s="33">
        <f t="shared" si="36"/>
        <v>-60000</v>
      </c>
      <c r="AB265" s="261"/>
      <c r="AC265" s="261"/>
      <c r="AD265" s="261"/>
      <c r="AE265" s="261"/>
      <c r="AF265" s="178" t="s">
        <v>335</v>
      </c>
    </row>
    <row r="266" spans="1:32" ht="15" customHeight="1" x14ac:dyDescent="0.35">
      <c r="A266" s="264"/>
      <c r="B266" s="265"/>
      <c r="C266" s="265"/>
      <c r="D266" s="70" t="s">
        <v>17</v>
      </c>
      <c r="E266" s="50" t="s">
        <v>332</v>
      </c>
      <c r="F266" s="71" t="s">
        <v>132</v>
      </c>
      <c r="G266" s="27" t="s">
        <v>86</v>
      </c>
      <c r="H266" s="27">
        <v>4</v>
      </c>
      <c r="I266" s="45">
        <v>1000</v>
      </c>
      <c r="J266" s="45">
        <v>4000</v>
      </c>
      <c r="K266" s="45">
        <v>0</v>
      </c>
      <c r="L266" s="45"/>
      <c r="M266" s="45"/>
      <c r="N266" s="45"/>
      <c r="O266" s="45"/>
      <c r="P266" s="45">
        <v>440.44</v>
      </c>
      <c r="Q266" s="45"/>
      <c r="R266" s="45">
        <v>3559.56</v>
      </c>
      <c r="S266" s="61">
        <v>1779.78</v>
      </c>
      <c r="T266" s="61"/>
      <c r="U266" s="61"/>
      <c r="V266" s="62"/>
      <c r="W266" s="31">
        <f t="shared" si="34"/>
        <v>2220.2199999999998</v>
      </c>
      <c r="X266" s="76" t="e">
        <f>#REF!-W266</f>
        <v>#REF!</v>
      </c>
      <c r="Y266" s="32" t="e">
        <f>#REF!-W266</f>
        <v>#REF!</v>
      </c>
      <c r="Z266" s="33">
        <f t="shared" si="35"/>
        <v>0</v>
      </c>
      <c r="AA266" s="33">
        <f t="shared" si="36"/>
        <v>1779.7800000000002</v>
      </c>
      <c r="AB266" s="261"/>
      <c r="AC266" s="261"/>
      <c r="AD266" s="261"/>
      <c r="AE266" s="261"/>
      <c r="AF266" s="34" t="s">
        <v>336</v>
      </c>
    </row>
    <row r="267" spans="1:32" ht="15" customHeight="1" x14ac:dyDescent="0.35">
      <c r="A267" s="264"/>
      <c r="B267" s="265"/>
      <c r="C267" s="265"/>
      <c r="D267" s="70" t="s">
        <v>17</v>
      </c>
      <c r="E267" s="50" t="s">
        <v>332</v>
      </c>
      <c r="F267" s="71" t="s">
        <v>64</v>
      </c>
      <c r="G267" s="27" t="s">
        <v>86</v>
      </c>
      <c r="H267" s="27">
        <v>10</v>
      </c>
      <c r="I267" s="45">
        <v>1400</v>
      </c>
      <c r="J267" s="45">
        <v>14000</v>
      </c>
      <c r="K267" s="45">
        <v>0</v>
      </c>
      <c r="L267" s="45"/>
      <c r="M267" s="45"/>
      <c r="N267" s="45">
        <v>428.06</v>
      </c>
      <c r="O267" s="45"/>
      <c r="P267" s="45">
        <v>14955.37</v>
      </c>
      <c r="Q267" s="45"/>
      <c r="R267" s="45">
        <v>-1383.4300000000003</v>
      </c>
      <c r="S267" s="61">
        <f>3851.67+1383.43</f>
        <v>5235.1000000000004</v>
      </c>
      <c r="T267" s="61"/>
      <c r="U267" s="61"/>
      <c r="V267" s="62"/>
      <c r="W267" s="31">
        <f t="shared" ref="W267:W330" si="43">L267+N267+P267+S267+U267</f>
        <v>20618.53</v>
      </c>
      <c r="X267" s="76" t="e">
        <f>#REF!-W267</f>
        <v>#REF!</v>
      </c>
      <c r="Y267" s="32" t="e">
        <f>#REF!+W267</f>
        <v>#REF!</v>
      </c>
      <c r="Z267" s="33">
        <f t="shared" ref="Z267:Z330" si="44">M267+O267+Q267+T267+V267</f>
        <v>0</v>
      </c>
      <c r="AA267" s="33">
        <f t="shared" ref="AA267:AA330" si="45">J267-W267</f>
        <v>-6618.5299999999988</v>
      </c>
      <c r="AB267" s="261"/>
      <c r="AC267" s="261"/>
      <c r="AD267" s="261"/>
      <c r="AE267" s="261"/>
      <c r="AF267" s="34" t="s">
        <v>337</v>
      </c>
    </row>
    <row r="268" spans="1:32" ht="15" customHeight="1" x14ac:dyDescent="0.35">
      <c r="A268" s="264"/>
      <c r="B268" s="265"/>
      <c r="C268" s="265"/>
      <c r="D268" s="70" t="s">
        <v>17</v>
      </c>
      <c r="E268" s="50" t="s">
        <v>332</v>
      </c>
      <c r="F268" s="71" t="s">
        <v>64</v>
      </c>
      <c r="G268" s="27" t="s">
        <v>86</v>
      </c>
      <c r="H268" s="27">
        <v>6</v>
      </c>
      <c r="I268" s="45">
        <v>2000</v>
      </c>
      <c r="J268" s="45">
        <v>12000</v>
      </c>
      <c r="K268" s="45">
        <v>0</v>
      </c>
      <c r="L268" s="45"/>
      <c r="M268" s="45"/>
      <c r="N268" s="45"/>
      <c r="O268" s="45"/>
      <c r="P268" s="45">
        <v>6120.55</v>
      </c>
      <c r="Q268" s="45"/>
      <c r="R268" s="45">
        <v>5879.45</v>
      </c>
      <c r="S268" s="61">
        <v>1026.44</v>
      </c>
      <c r="T268" s="61"/>
      <c r="U268" s="61"/>
      <c r="V268" s="62"/>
      <c r="W268" s="31">
        <f t="shared" si="43"/>
        <v>7146.99</v>
      </c>
      <c r="X268" s="76" t="e">
        <f>#REF!-W268</f>
        <v>#REF!</v>
      </c>
      <c r="Y268" s="32" t="e">
        <f>#REF!-W268</f>
        <v>#REF!</v>
      </c>
      <c r="Z268" s="33">
        <f t="shared" si="44"/>
        <v>0</v>
      </c>
      <c r="AA268" s="33">
        <f t="shared" si="45"/>
        <v>4853.01</v>
      </c>
      <c r="AB268" s="261"/>
      <c r="AC268" s="261"/>
      <c r="AD268" s="261"/>
      <c r="AE268" s="261"/>
      <c r="AF268" s="34" t="s">
        <v>338</v>
      </c>
    </row>
    <row r="269" spans="1:32" ht="15" customHeight="1" x14ac:dyDescent="0.35">
      <c r="A269" s="264"/>
      <c r="B269" s="265"/>
      <c r="C269" s="265"/>
      <c r="D269" s="70" t="s">
        <v>17</v>
      </c>
      <c r="E269" s="50" t="s">
        <v>332</v>
      </c>
      <c r="F269" s="71" t="s">
        <v>148</v>
      </c>
      <c r="G269" s="27" t="s">
        <v>86</v>
      </c>
      <c r="H269" s="27">
        <v>4</v>
      </c>
      <c r="I269" s="45">
        <v>1000</v>
      </c>
      <c r="J269" s="45">
        <v>4150</v>
      </c>
      <c r="K269" s="45">
        <v>0</v>
      </c>
      <c r="L269" s="45"/>
      <c r="M269" s="45"/>
      <c r="N269" s="45"/>
      <c r="O269" s="45"/>
      <c r="P269" s="45">
        <v>0</v>
      </c>
      <c r="Q269" s="45"/>
      <c r="R269" s="45">
        <v>4150</v>
      </c>
      <c r="S269" s="61">
        <v>0</v>
      </c>
      <c r="T269" s="61"/>
      <c r="U269" s="61">
        <v>4150</v>
      </c>
      <c r="V269" s="62"/>
      <c r="W269" s="31">
        <f t="shared" si="43"/>
        <v>4150</v>
      </c>
      <c r="X269" s="76" t="e">
        <f>#REF!-W269</f>
        <v>#REF!</v>
      </c>
      <c r="Y269" s="32" t="e">
        <f>#REF!-W269</f>
        <v>#REF!</v>
      </c>
      <c r="Z269" s="33">
        <f t="shared" si="44"/>
        <v>0</v>
      </c>
      <c r="AA269" s="33">
        <f t="shared" si="45"/>
        <v>0</v>
      </c>
      <c r="AB269" s="261"/>
      <c r="AC269" s="261"/>
      <c r="AD269" s="261"/>
      <c r="AE269" s="261"/>
      <c r="AF269" s="34" t="s">
        <v>339</v>
      </c>
    </row>
    <row r="270" spans="1:32" ht="15" customHeight="1" x14ac:dyDescent="0.35">
      <c r="A270" s="264"/>
      <c r="B270" s="265"/>
      <c r="C270" s="265"/>
      <c r="D270" s="70" t="s">
        <v>17</v>
      </c>
      <c r="E270" s="50" t="s">
        <v>332</v>
      </c>
      <c r="F270" s="71" t="s">
        <v>69</v>
      </c>
      <c r="G270" s="27" t="s">
        <v>55</v>
      </c>
      <c r="H270" s="27">
        <v>26</v>
      </c>
      <c r="I270" s="45">
        <v>1100</v>
      </c>
      <c r="J270" s="45">
        <v>19800</v>
      </c>
      <c r="K270" s="45">
        <v>0</v>
      </c>
      <c r="L270" s="45"/>
      <c r="M270" s="45"/>
      <c r="N270" s="45"/>
      <c r="O270" s="45"/>
      <c r="P270" s="45">
        <v>2362.4499999999998</v>
      </c>
      <c r="Q270" s="45"/>
      <c r="R270" s="45">
        <v>17437.55</v>
      </c>
      <c r="S270" s="61">
        <v>4900</v>
      </c>
      <c r="T270" s="61"/>
      <c r="U270" s="61">
        <v>5000</v>
      </c>
      <c r="V270" s="62"/>
      <c r="W270" s="31">
        <f t="shared" si="43"/>
        <v>12262.45</v>
      </c>
      <c r="X270" s="76" t="e">
        <f>#REF!-W270</f>
        <v>#REF!</v>
      </c>
      <c r="Y270" s="32" t="e">
        <f>#REF!-W270</f>
        <v>#REF!</v>
      </c>
      <c r="Z270" s="33">
        <f t="shared" si="44"/>
        <v>0</v>
      </c>
      <c r="AA270" s="33">
        <f t="shared" si="45"/>
        <v>7537.5499999999993</v>
      </c>
      <c r="AB270" s="261"/>
      <c r="AC270" s="261"/>
      <c r="AD270" s="261"/>
      <c r="AE270" s="261"/>
      <c r="AF270" s="34" t="s">
        <v>340</v>
      </c>
    </row>
    <row r="271" spans="1:32" ht="15" customHeight="1" x14ac:dyDescent="0.35">
      <c r="A271" s="264"/>
      <c r="B271" s="265"/>
      <c r="C271" s="265"/>
      <c r="D271" s="70" t="s">
        <v>33</v>
      </c>
      <c r="E271" s="50" t="s">
        <v>332</v>
      </c>
      <c r="F271" s="71" t="s">
        <v>69</v>
      </c>
      <c r="G271" s="27" t="s">
        <v>55</v>
      </c>
      <c r="H271" s="27">
        <v>26</v>
      </c>
      <c r="I271" s="45">
        <v>500</v>
      </c>
      <c r="J271" s="45">
        <v>0</v>
      </c>
      <c r="K271" s="45">
        <v>2000</v>
      </c>
      <c r="L271" s="45"/>
      <c r="M271" s="45"/>
      <c r="N271" s="45"/>
      <c r="O271" s="45"/>
      <c r="P271" s="45">
        <v>0</v>
      </c>
      <c r="Q271" s="45"/>
      <c r="R271" s="45">
        <v>0</v>
      </c>
      <c r="S271" s="61">
        <v>0</v>
      </c>
      <c r="T271" s="61">
        <v>1000</v>
      </c>
      <c r="U271" s="61"/>
      <c r="V271" s="62">
        <v>1000</v>
      </c>
      <c r="W271" s="31">
        <f t="shared" si="43"/>
        <v>0</v>
      </c>
      <c r="X271" s="76" t="e">
        <f>#REF!-W271</f>
        <v>#REF!</v>
      </c>
      <c r="Y271" s="32" t="e">
        <f>#REF!-W271</f>
        <v>#REF!</v>
      </c>
      <c r="Z271" s="33">
        <f t="shared" si="44"/>
        <v>2000</v>
      </c>
      <c r="AA271" s="33">
        <f t="shared" si="45"/>
        <v>0</v>
      </c>
      <c r="AB271" s="261"/>
      <c r="AC271" s="261"/>
      <c r="AD271" s="261"/>
      <c r="AE271" s="261"/>
      <c r="AF271" s="34" t="s">
        <v>341</v>
      </c>
    </row>
    <row r="272" spans="1:32" ht="15" customHeight="1" x14ac:dyDescent="0.35">
      <c r="A272" s="264"/>
      <c r="B272" s="265"/>
      <c r="C272" s="265"/>
      <c r="D272" s="70" t="s">
        <v>17</v>
      </c>
      <c r="E272" s="50" t="s">
        <v>332</v>
      </c>
      <c r="F272" s="71" t="s">
        <v>73</v>
      </c>
      <c r="G272" s="27" t="s">
        <v>62</v>
      </c>
      <c r="H272" s="27">
        <v>4</v>
      </c>
      <c r="I272" s="45">
        <v>250</v>
      </c>
      <c r="J272" s="45">
        <v>1000</v>
      </c>
      <c r="K272" s="45">
        <v>0</v>
      </c>
      <c r="L272" s="45"/>
      <c r="M272" s="45"/>
      <c r="N272" s="45"/>
      <c r="O272" s="45"/>
      <c r="P272" s="45">
        <v>773.51</v>
      </c>
      <c r="Q272" s="45"/>
      <c r="R272" s="45">
        <v>226.49</v>
      </c>
      <c r="S272" s="61">
        <v>0</v>
      </c>
      <c r="T272" s="61"/>
      <c r="U272" s="61">
        <v>500</v>
      </c>
      <c r="V272" s="62"/>
      <c r="W272" s="31">
        <f t="shared" si="43"/>
        <v>1273.51</v>
      </c>
      <c r="X272" s="76" t="e">
        <f>#REF!-W272</f>
        <v>#REF!</v>
      </c>
      <c r="Y272" s="32" t="e">
        <f>#REF!-W272</f>
        <v>#REF!</v>
      </c>
      <c r="Z272" s="33">
        <f t="shared" si="44"/>
        <v>0</v>
      </c>
      <c r="AA272" s="33">
        <f t="shared" si="45"/>
        <v>-273.51</v>
      </c>
      <c r="AB272" s="261"/>
      <c r="AC272" s="261"/>
      <c r="AD272" s="261"/>
      <c r="AE272" s="261"/>
      <c r="AF272" s="34" t="s">
        <v>342</v>
      </c>
    </row>
    <row r="273" spans="1:32" ht="15" customHeight="1" x14ac:dyDescent="0.35">
      <c r="A273" s="264"/>
      <c r="B273" s="265"/>
      <c r="C273" s="265"/>
      <c r="D273" s="70" t="s">
        <v>17</v>
      </c>
      <c r="E273" s="50" t="s">
        <v>332</v>
      </c>
      <c r="F273" s="71" t="s">
        <v>39</v>
      </c>
      <c r="G273" s="27" t="s">
        <v>40</v>
      </c>
      <c r="H273" s="27">
        <v>1</v>
      </c>
      <c r="I273" s="45">
        <v>2500</v>
      </c>
      <c r="J273" s="45">
        <v>2500</v>
      </c>
      <c r="K273" s="45">
        <v>0</v>
      </c>
      <c r="L273" s="45"/>
      <c r="M273" s="45"/>
      <c r="N273" s="45"/>
      <c r="O273" s="45"/>
      <c r="P273" s="45">
        <v>4283.0200000000004</v>
      </c>
      <c r="Q273" s="45"/>
      <c r="R273" s="45">
        <v>-1783.0200000000004</v>
      </c>
      <c r="S273" s="61">
        <v>1503.13</v>
      </c>
      <c r="T273" s="61"/>
      <c r="U273" s="61"/>
      <c r="V273" s="62"/>
      <c r="W273" s="31">
        <f t="shared" si="43"/>
        <v>5786.1500000000005</v>
      </c>
      <c r="X273" s="76" t="e">
        <f>#REF!-W273</f>
        <v>#REF!</v>
      </c>
      <c r="Y273" s="32" t="e">
        <f>#REF!-W273</f>
        <v>#REF!</v>
      </c>
      <c r="Z273" s="33">
        <f t="shared" si="44"/>
        <v>0</v>
      </c>
      <c r="AA273" s="33">
        <f t="shared" si="45"/>
        <v>-3286.1500000000005</v>
      </c>
      <c r="AB273" s="261"/>
      <c r="AC273" s="261"/>
      <c r="AD273" s="261"/>
      <c r="AE273" s="261"/>
      <c r="AF273" s="34" t="s">
        <v>343</v>
      </c>
    </row>
    <row r="274" spans="1:32" ht="15" customHeight="1" x14ac:dyDescent="0.35">
      <c r="A274" s="264"/>
      <c r="B274" s="265"/>
      <c r="C274" s="265"/>
      <c r="D274" s="70" t="s">
        <v>17</v>
      </c>
      <c r="E274" s="50" t="s">
        <v>332</v>
      </c>
      <c r="F274" s="71" t="s">
        <v>39</v>
      </c>
      <c r="G274" s="27" t="s">
        <v>40</v>
      </c>
      <c r="H274" s="27">
        <v>4</v>
      </c>
      <c r="I274" s="45">
        <v>2500</v>
      </c>
      <c r="J274" s="45">
        <v>10000</v>
      </c>
      <c r="K274" s="45">
        <v>0</v>
      </c>
      <c r="L274" s="45"/>
      <c r="M274" s="45"/>
      <c r="N274" s="45"/>
      <c r="O274" s="45"/>
      <c r="P274" s="45">
        <v>0</v>
      </c>
      <c r="Q274" s="45"/>
      <c r="R274" s="45">
        <v>10000</v>
      </c>
      <c r="S274" s="61">
        <v>0</v>
      </c>
      <c r="T274" s="61"/>
      <c r="U274" s="61">
        <v>5000</v>
      </c>
      <c r="V274" s="62"/>
      <c r="W274" s="31">
        <f t="shared" si="43"/>
        <v>5000</v>
      </c>
      <c r="X274" s="76" t="e">
        <f>#REF!-W274</f>
        <v>#REF!</v>
      </c>
      <c r="Y274" s="32" t="e">
        <f>#REF!-W274</f>
        <v>#REF!</v>
      </c>
      <c r="Z274" s="33">
        <f t="shared" si="44"/>
        <v>0</v>
      </c>
      <c r="AA274" s="33">
        <f t="shared" si="45"/>
        <v>5000</v>
      </c>
      <c r="AB274" s="261"/>
      <c r="AC274" s="261"/>
      <c r="AD274" s="261"/>
      <c r="AE274" s="261"/>
      <c r="AF274" s="34" t="s">
        <v>344</v>
      </c>
    </row>
    <row r="275" spans="1:32" ht="15" customHeight="1" x14ac:dyDescent="0.35">
      <c r="A275" s="264"/>
      <c r="B275" s="265"/>
      <c r="C275" s="265"/>
      <c r="D275" s="70" t="s">
        <v>17</v>
      </c>
      <c r="E275" s="50" t="s">
        <v>332</v>
      </c>
      <c r="F275" s="71" t="s">
        <v>123</v>
      </c>
      <c r="G275" s="27" t="s">
        <v>86</v>
      </c>
      <c r="H275" s="27">
        <v>4</v>
      </c>
      <c r="I275" s="45">
        <v>1000</v>
      </c>
      <c r="J275" s="45">
        <v>0</v>
      </c>
      <c r="K275" s="45">
        <v>0</v>
      </c>
      <c r="L275" s="45"/>
      <c r="M275" s="45"/>
      <c r="N275" s="45"/>
      <c r="O275" s="45"/>
      <c r="P275" s="45">
        <v>0</v>
      </c>
      <c r="Q275" s="45"/>
      <c r="R275" s="45">
        <v>0</v>
      </c>
      <c r="S275" s="61"/>
      <c r="T275" s="61"/>
      <c r="U275" s="61"/>
      <c r="V275" s="62"/>
      <c r="W275" s="31">
        <f t="shared" si="43"/>
        <v>0</v>
      </c>
      <c r="X275" s="76" t="e">
        <f>#REF!-W275</f>
        <v>#REF!</v>
      </c>
      <c r="Y275" s="32" t="e">
        <f>#REF!-W275</f>
        <v>#REF!</v>
      </c>
      <c r="Z275" s="33">
        <f t="shared" si="44"/>
        <v>0</v>
      </c>
      <c r="AA275" s="33">
        <f t="shared" si="45"/>
        <v>0</v>
      </c>
      <c r="AB275" s="262"/>
      <c r="AC275" s="262"/>
      <c r="AD275" s="261"/>
      <c r="AE275" s="261"/>
      <c r="AF275" s="34" t="s">
        <v>345</v>
      </c>
    </row>
    <row r="276" spans="1:32" ht="15" customHeight="1" x14ac:dyDescent="0.35">
      <c r="A276" s="264"/>
      <c r="B276" s="265"/>
      <c r="C276" s="73"/>
      <c r="D276" s="73"/>
      <c r="E276" s="53"/>
      <c r="F276" s="74"/>
      <c r="G276" s="41"/>
      <c r="H276" s="41"/>
      <c r="I276" s="54"/>
      <c r="J276" s="54">
        <f>SUM(J263:J275)</f>
        <v>223916</v>
      </c>
      <c r="K276" s="54">
        <f t="shared" ref="K276:AC276" si="46">SUM(K263:K275)</f>
        <v>2000</v>
      </c>
      <c r="L276" s="54">
        <f t="shared" si="46"/>
        <v>22337.200000000001</v>
      </c>
      <c r="M276" s="54">
        <f t="shared" si="46"/>
        <v>0</v>
      </c>
      <c r="N276" s="54">
        <f t="shared" si="46"/>
        <v>25767.620000000003</v>
      </c>
      <c r="O276" s="54">
        <f t="shared" si="46"/>
        <v>0</v>
      </c>
      <c r="P276" s="54">
        <f t="shared" si="46"/>
        <v>54435.710000000006</v>
      </c>
      <c r="Q276" s="54">
        <f t="shared" si="46"/>
        <v>0</v>
      </c>
      <c r="R276" s="54">
        <f t="shared" si="46"/>
        <v>121375.47</v>
      </c>
      <c r="S276" s="54">
        <f t="shared" si="46"/>
        <v>72258.16</v>
      </c>
      <c r="T276" s="54">
        <f t="shared" si="46"/>
        <v>1000</v>
      </c>
      <c r="U276" s="54">
        <f t="shared" si="46"/>
        <v>72650</v>
      </c>
      <c r="V276" s="54">
        <f t="shared" si="46"/>
        <v>1000</v>
      </c>
      <c r="W276" s="54">
        <f t="shared" si="46"/>
        <v>247448.69</v>
      </c>
      <c r="X276" s="54" t="e">
        <f t="shared" si="46"/>
        <v>#REF!</v>
      </c>
      <c r="Y276" s="54" t="e">
        <f t="shared" si="46"/>
        <v>#REF!</v>
      </c>
      <c r="Z276" s="54">
        <f t="shared" si="46"/>
        <v>2000</v>
      </c>
      <c r="AA276" s="54">
        <f t="shared" si="46"/>
        <v>-23532.689999999995</v>
      </c>
      <c r="AB276" s="54">
        <f t="shared" si="46"/>
        <v>247448.69</v>
      </c>
      <c r="AC276" s="54">
        <f t="shared" si="46"/>
        <v>2000</v>
      </c>
      <c r="AD276" s="261"/>
      <c r="AE276" s="261"/>
      <c r="AF276" s="49"/>
    </row>
    <row r="277" spans="1:32" ht="15" customHeight="1" x14ac:dyDescent="0.35">
      <c r="A277" s="264"/>
      <c r="B277" s="265"/>
      <c r="C277" s="265" t="s">
        <v>346</v>
      </c>
      <c r="D277" s="70" t="s">
        <v>17</v>
      </c>
      <c r="E277" s="50" t="s">
        <v>347</v>
      </c>
      <c r="F277" s="71" t="s">
        <v>28</v>
      </c>
      <c r="G277" s="27" t="s">
        <v>29</v>
      </c>
      <c r="H277" s="27">
        <v>78</v>
      </c>
      <c r="I277" s="45">
        <v>1359</v>
      </c>
      <c r="J277" s="45">
        <v>131466</v>
      </c>
      <c r="K277" s="45">
        <v>0</v>
      </c>
      <c r="L277" s="45">
        <v>19311.78</v>
      </c>
      <c r="M277" s="45"/>
      <c r="N277" s="45">
        <v>28778.82</v>
      </c>
      <c r="O277" s="45"/>
      <c r="P277" s="45">
        <v>24368.079999999998</v>
      </c>
      <c r="Q277" s="45"/>
      <c r="R277" s="45">
        <v>59007.320000000007</v>
      </c>
      <c r="S277" s="58">
        <v>1409.31</v>
      </c>
      <c r="T277" s="58"/>
      <c r="U277" s="58">
        <v>0</v>
      </c>
      <c r="V277" s="59"/>
      <c r="W277" s="31">
        <f t="shared" si="43"/>
        <v>73867.989999999991</v>
      </c>
      <c r="X277" s="60" t="e">
        <f>#REF!-W277</f>
        <v>#REF!</v>
      </c>
      <c r="Y277" s="60" t="e">
        <f>#REF!-W277</f>
        <v>#REF!</v>
      </c>
      <c r="Z277" s="33">
        <f t="shared" si="44"/>
        <v>0</v>
      </c>
      <c r="AA277" s="33">
        <f t="shared" si="45"/>
        <v>57598.010000000009</v>
      </c>
      <c r="AB277" s="260">
        <f>SUM(W277:W287)</f>
        <v>236366</v>
      </c>
      <c r="AC277" s="260">
        <f>SUM(Z277:Z287)</f>
        <v>14300</v>
      </c>
      <c r="AD277" s="261"/>
      <c r="AE277" s="261"/>
      <c r="AF277" s="34" t="s">
        <v>348</v>
      </c>
    </row>
    <row r="278" spans="1:32" ht="15" customHeight="1" x14ac:dyDescent="0.35">
      <c r="A278" s="264"/>
      <c r="B278" s="265"/>
      <c r="C278" s="265"/>
      <c r="D278" s="70" t="s">
        <v>17</v>
      </c>
      <c r="E278" s="50" t="s">
        <v>347</v>
      </c>
      <c r="F278" s="71" t="s">
        <v>120</v>
      </c>
      <c r="G278" s="27" t="s">
        <v>58</v>
      </c>
      <c r="H278" s="27">
        <v>40</v>
      </c>
      <c r="I278" s="45">
        <v>250</v>
      </c>
      <c r="J278" s="45">
        <v>10000</v>
      </c>
      <c r="K278" s="45">
        <v>0</v>
      </c>
      <c r="L278" s="45"/>
      <c r="M278" s="45"/>
      <c r="N278" s="45"/>
      <c r="O278" s="45"/>
      <c r="P278" s="45">
        <v>0</v>
      </c>
      <c r="Q278" s="45"/>
      <c r="R278" s="45">
        <v>10000</v>
      </c>
      <c r="S278" s="58">
        <v>0</v>
      </c>
      <c r="T278" s="58"/>
      <c r="U278" s="58">
        <v>36000</v>
      </c>
      <c r="V278" s="59"/>
      <c r="W278" s="31">
        <f t="shared" si="43"/>
        <v>36000</v>
      </c>
      <c r="X278" s="60" t="e">
        <f>#REF!-W278</f>
        <v>#REF!</v>
      </c>
      <c r="Y278" s="60" t="e">
        <f>#REF!-W278</f>
        <v>#REF!</v>
      </c>
      <c r="Z278" s="33">
        <f t="shared" si="44"/>
        <v>0</v>
      </c>
      <c r="AA278" s="33">
        <f t="shared" si="45"/>
        <v>-26000</v>
      </c>
      <c r="AB278" s="261"/>
      <c r="AC278" s="261"/>
      <c r="AD278" s="261"/>
      <c r="AE278" s="261"/>
      <c r="AF278" s="34" t="s">
        <v>349</v>
      </c>
    </row>
    <row r="279" spans="1:32" ht="15" customHeight="1" x14ac:dyDescent="0.35">
      <c r="A279" s="264"/>
      <c r="B279" s="265"/>
      <c r="C279" s="265"/>
      <c r="D279" s="189" t="s">
        <v>17</v>
      </c>
      <c r="E279" s="180" t="s">
        <v>347</v>
      </c>
      <c r="F279" s="190" t="s">
        <v>120</v>
      </c>
      <c r="G279" s="182"/>
      <c r="H279" s="182"/>
      <c r="I279" s="186"/>
      <c r="J279" s="186"/>
      <c r="K279" s="186"/>
      <c r="L279" s="186"/>
      <c r="M279" s="186"/>
      <c r="N279" s="186"/>
      <c r="O279" s="186"/>
      <c r="P279" s="186"/>
      <c r="Q279" s="186"/>
      <c r="R279" s="186"/>
      <c r="S279" s="187">
        <v>0</v>
      </c>
      <c r="T279" s="187"/>
      <c r="U279" s="187">
        <v>36000</v>
      </c>
      <c r="V279" s="188"/>
      <c r="W279" s="31">
        <f t="shared" si="43"/>
        <v>36000</v>
      </c>
      <c r="X279" s="60"/>
      <c r="Y279" s="60" t="e">
        <f>#REF!-W279</f>
        <v>#REF!</v>
      </c>
      <c r="Z279" s="33">
        <f t="shared" si="44"/>
        <v>0</v>
      </c>
      <c r="AA279" s="33">
        <f t="shared" si="45"/>
        <v>-36000</v>
      </c>
      <c r="AB279" s="261"/>
      <c r="AC279" s="261"/>
      <c r="AD279" s="261"/>
      <c r="AE279" s="261"/>
      <c r="AF279" s="178" t="s">
        <v>350</v>
      </c>
    </row>
    <row r="280" spans="1:32" ht="15" customHeight="1" x14ac:dyDescent="0.35">
      <c r="A280" s="264"/>
      <c r="B280" s="265"/>
      <c r="C280" s="265"/>
      <c r="D280" s="70" t="s">
        <v>33</v>
      </c>
      <c r="E280" s="50" t="s">
        <v>347</v>
      </c>
      <c r="F280" s="71" t="s">
        <v>69</v>
      </c>
      <c r="G280" s="27" t="s">
        <v>55</v>
      </c>
      <c r="H280" s="27">
        <v>16</v>
      </c>
      <c r="I280" s="45">
        <v>375</v>
      </c>
      <c r="J280" s="45">
        <v>0</v>
      </c>
      <c r="K280" s="45">
        <v>6000</v>
      </c>
      <c r="L280" s="45"/>
      <c r="M280" s="45"/>
      <c r="N280" s="45"/>
      <c r="O280" s="45"/>
      <c r="P280" s="45">
        <v>0</v>
      </c>
      <c r="Q280" s="45"/>
      <c r="R280" s="45">
        <v>0</v>
      </c>
      <c r="S280" s="58">
        <v>0</v>
      </c>
      <c r="T280" s="58">
        <v>3000</v>
      </c>
      <c r="U280" s="58">
        <v>0</v>
      </c>
      <c r="V280" s="59">
        <v>3000</v>
      </c>
      <c r="W280" s="31">
        <f t="shared" si="43"/>
        <v>0</v>
      </c>
      <c r="X280" s="60" t="e">
        <f>#REF!-W280</f>
        <v>#REF!</v>
      </c>
      <c r="Y280" s="60" t="e">
        <f>#REF!-W280</f>
        <v>#REF!</v>
      </c>
      <c r="Z280" s="33">
        <f t="shared" si="44"/>
        <v>6000</v>
      </c>
      <c r="AA280" s="33">
        <f t="shared" si="45"/>
        <v>0</v>
      </c>
      <c r="AB280" s="261"/>
      <c r="AC280" s="261"/>
      <c r="AD280" s="261"/>
      <c r="AE280" s="261"/>
      <c r="AF280" s="34" t="s">
        <v>351</v>
      </c>
    </row>
    <row r="281" spans="1:32" ht="15" customHeight="1" x14ac:dyDescent="0.35">
      <c r="A281" s="264"/>
      <c r="B281" s="265"/>
      <c r="C281" s="265"/>
      <c r="D281" s="70" t="s">
        <v>17</v>
      </c>
      <c r="E281" s="50" t="s">
        <v>347</v>
      </c>
      <c r="F281" s="71" t="s">
        <v>69</v>
      </c>
      <c r="G281" s="27" t="s">
        <v>55</v>
      </c>
      <c r="H281" s="27">
        <v>16</v>
      </c>
      <c r="I281" s="45">
        <v>1100</v>
      </c>
      <c r="J281" s="45">
        <v>17600</v>
      </c>
      <c r="K281" s="45">
        <v>0</v>
      </c>
      <c r="L281" s="45"/>
      <c r="M281" s="45"/>
      <c r="N281" s="45"/>
      <c r="O281" s="45"/>
      <c r="P281" s="45">
        <v>7727.54</v>
      </c>
      <c r="Q281" s="45"/>
      <c r="R281" s="45">
        <v>9872.4599999999991</v>
      </c>
      <c r="S281" s="58">
        <v>5000</v>
      </c>
      <c r="T281" s="58"/>
      <c r="U281" s="58">
        <v>4872.46</v>
      </c>
      <c r="V281" s="59"/>
      <c r="W281" s="31">
        <f t="shared" si="43"/>
        <v>17600</v>
      </c>
      <c r="X281" s="60" t="e">
        <f>#REF!-W281</f>
        <v>#REF!</v>
      </c>
      <c r="Y281" s="60" t="e">
        <f>#REF!-W281</f>
        <v>#REF!</v>
      </c>
      <c r="Z281" s="33">
        <f t="shared" si="44"/>
        <v>0</v>
      </c>
      <c r="AA281" s="33">
        <f t="shared" si="45"/>
        <v>0</v>
      </c>
      <c r="AB281" s="261"/>
      <c r="AC281" s="261"/>
      <c r="AD281" s="261"/>
      <c r="AE281" s="261"/>
      <c r="AF281" s="34" t="s">
        <v>352</v>
      </c>
    </row>
    <row r="282" spans="1:32" ht="15" customHeight="1" x14ac:dyDescent="0.35">
      <c r="A282" s="264"/>
      <c r="B282" s="265"/>
      <c r="C282" s="265"/>
      <c r="D282" s="70" t="s">
        <v>17</v>
      </c>
      <c r="E282" s="50" t="s">
        <v>347</v>
      </c>
      <c r="F282" s="71" t="s">
        <v>69</v>
      </c>
      <c r="G282" s="27" t="s">
        <v>55</v>
      </c>
      <c r="H282" s="27">
        <v>16</v>
      </c>
      <c r="I282" s="45">
        <v>300</v>
      </c>
      <c r="J282" s="45">
        <v>4800</v>
      </c>
      <c r="K282" s="45">
        <v>0</v>
      </c>
      <c r="L282" s="45"/>
      <c r="M282" s="45"/>
      <c r="N282" s="45"/>
      <c r="O282" s="45"/>
      <c r="P282" s="45">
        <v>0</v>
      </c>
      <c r="Q282" s="45"/>
      <c r="R282" s="45">
        <v>4800</v>
      </c>
      <c r="S282" s="58">
        <v>2400</v>
      </c>
      <c r="T282" s="58"/>
      <c r="U282" s="58">
        <v>2400</v>
      </c>
      <c r="V282" s="59"/>
      <c r="W282" s="31">
        <f t="shared" si="43"/>
        <v>4800</v>
      </c>
      <c r="X282" s="60" t="e">
        <f>#REF!-W282</f>
        <v>#REF!</v>
      </c>
      <c r="Y282" s="60" t="e">
        <f>#REF!-W282</f>
        <v>#REF!</v>
      </c>
      <c r="Z282" s="33">
        <f t="shared" si="44"/>
        <v>0</v>
      </c>
      <c r="AA282" s="33">
        <f t="shared" si="45"/>
        <v>0</v>
      </c>
      <c r="AB282" s="261"/>
      <c r="AC282" s="261"/>
      <c r="AD282" s="261"/>
      <c r="AE282" s="261"/>
      <c r="AF282" s="34" t="s">
        <v>353</v>
      </c>
    </row>
    <row r="283" spans="1:32" ht="15" customHeight="1" x14ac:dyDescent="0.35">
      <c r="A283" s="264"/>
      <c r="B283" s="265"/>
      <c r="C283" s="265"/>
      <c r="D283" s="70" t="s">
        <v>17</v>
      </c>
      <c r="E283" s="50" t="s">
        <v>347</v>
      </c>
      <c r="F283" s="71" t="s">
        <v>130</v>
      </c>
      <c r="G283" s="27" t="s">
        <v>40</v>
      </c>
      <c r="H283" s="27">
        <v>36</v>
      </c>
      <c r="I283" s="45">
        <v>1000</v>
      </c>
      <c r="J283" s="45">
        <v>64000</v>
      </c>
      <c r="K283" s="45">
        <v>0</v>
      </c>
      <c r="L283" s="45"/>
      <c r="M283" s="45"/>
      <c r="N283" s="45"/>
      <c r="O283" s="45"/>
      <c r="P283" s="45">
        <v>5321.62</v>
      </c>
      <c r="Q283" s="45"/>
      <c r="R283" s="45">
        <v>58678.38</v>
      </c>
      <c r="S283" s="58">
        <v>25000</v>
      </c>
      <c r="T283" s="58"/>
      <c r="U283" s="58">
        <v>29276.39</v>
      </c>
      <c r="V283" s="59"/>
      <c r="W283" s="31">
        <f t="shared" si="43"/>
        <v>59598.009999999995</v>
      </c>
      <c r="X283" s="60" t="e">
        <f>#REF!-W283</f>
        <v>#REF!</v>
      </c>
      <c r="Y283" s="60" t="e">
        <f>#REF!-W283</f>
        <v>#REF!</v>
      </c>
      <c r="Z283" s="33">
        <f t="shared" si="44"/>
        <v>0</v>
      </c>
      <c r="AA283" s="33">
        <f t="shared" si="45"/>
        <v>4401.9900000000052</v>
      </c>
      <c r="AB283" s="261"/>
      <c r="AC283" s="261"/>
      <c r="AD283" s="261"/>
      <c r="AE283" s="261"/>
      <c r="AF283" s="34" t="s">
        <v>354</v>
      </c>
    </row>
    <row r="284" spans="1:32" ht="15" customHeight="1" x14ac:dyDescent="0.35">
      <c r="A284" s="264"/>
      <c r="B284" s="265"/>
      <c r="C284" s="265"/>
      <c r="D284" s="70" t="s">
        <v>17</v>
      </c>
      <c r="E284" s="50" t="s">
        <v>347</v>
      </c>
      <c r="F284" s="71" t="s">
        <v>39</v>
      </c>
      <c r="G284" s="27" t="s">
        <v>40</v>
      </c>
      <c r="H284" s="27">
        <v>3</v>
      </c>
      <c r="I284" s="45">
        <v>2500</v>
      </c>
      <c r="J284" s="45">
        <v>7500</v>
      </c>
      <c r="K284" s="45">
        <v>0</v>
      </c>
      <c r="L284" s="45"/>
      <c r="M284" s="45"/>
      <c r="N284" s="45"/>
      <c r="O284" s="45"/>
      <c r="P284" s="45">
        <v>291.75</v>
      </c>
      <c r="Q284" s="45"/>
      <c r="R284" s="45">
        <v>7208.25</v>
      </c>
      <c r="S284" s="58">
        <v>3600</v>
      </c>
      <c r="T284" s="58"/>
      <c r="U284" s="58">
        <v>3608.25</v>
      </c>
      <c r="V284" s="59"/>
      <c r="W284" s="31">
        <f t="shared" si="43"/>
        <v>7500</v>
      </c>
      <c r="X284" s="60" t="e">
        <f>#REF!-W284</f>
        <v>#REF!</v>
      </c>
      <c r="Y284" s="60" t="e">
        <f>#REF!-W284</f>
        <v>#REF!</v>
      </c>
      <c r="Z284" s="33">
        <f t="shared" si="44"/>
        <v>0</v>
      </c>
      <c r="AA284" s="33">
        <f t="shared" si="45"/>
        <v>0</v>
      </c>
      <c r="AB284" s="261"/>
      <c r="AC284" s="261"/>
      <c r="AD284" s="261"/>
      <c r="AE284" s="261"/>
      <c r="AF284" s="34" t="s">
        <v>355</v>
      </c>
    </row>
    <row r="285" spans="1:32" ht="15" customHeight="1" x14ac:dyDescent="0.35">
      <c r="A285" s="264"/>
      <c r="B285" s="265"/>
      <c r="C285" s="265"/>
      <c r="D285" s="70" t="s">
        <v>33</v>
      </c>
      <c r="E285" s="50" t="s">
        <v>347</v>
      </c>
      <c r="F285" s="71" t="s">
        <v>39</v>
      </c>
      <c r="G285" s="27" t="s">
        <v>40</v>
      </c>
      <c r="H285" s="27">
        <v>3</v>
      </c>
      <c r="I285" s="45">
        <v>2500</v>
      </c>
      <c r="J285" s="45">
        <v>0</v>
      </c>
      <c r="K285" s="45">
        <v>7500</v>
      </c>
      <c r="L285" s="45"/>
      <c r="M285" s="45"/>
      <c r="N285" s="45"/>
      <c r="O285" s="45"/>
      <c r="P285" s="45">
        <v>0</v>
      </c>
      <c r="Q285" s="45"/>
      <c r="R285" s="45">
        <v>0</v>
      </c>
      <c r="S285" s="58"/>
      <c r="T285" s="58">
        <v>3750</v>
      </c>
      <c r="U285" s="58"/>
      <c r="V285" s="59">
        <v>3750</v>
      </c>
      <c r="W285" s="31">
        <f t="shared" si="43"/>
        <v>0</v>
      </c>
      <c r="X285" s="60" t="e">
        <f>#REF!-W285</f>
        <v>#REF!</v>
      </c>
      <c r="Y285" s="60" t="e">
        <f>#REF!-W285</f>
        <v>#REF!</v>
      </c>
      <c r="Z285" s="33">
        <f t="shared" si="44"/>
        <v>7500</v>
      </c>
      <c r="AA285" s="33">
        <f t="shared" si="45"/>
        <v>0</v>
      </c>
      <c r="AB285" s="261"/>
      <c r="AC285" s="261"/>
      <c r="AD285" s="261"/>
      <c r="AE285" s="261"/>
      <c r="AF285" s="34" t="s">
        <v>356</v>
      </c>
    </row>
    <row r="286" spans="1:32" ht="15" customHeight="1" x14ac:dyDescent="0.35">
      <c r="A286" s="264"/>
      <c r="B286" s="265"/>
      <c r="C286" s="265"/>
      <c r="D286" s="70" t="s">
        <v>17</v>
      </c>
      <c r="E286" s="50" t="s">
        <v>347</v>
      </c>
      <c r="F286" s="71" t="s">
        <v>73</v>
      </c>
      <c r="G286" s="27" t="s">
        <v>86</v>
      </c>
      <c r="H286" s="27">
        <v>4</v>
      </c>
      <c r="I286" s="45">
        <v>250</v>
      </c>
      <c r="J286" s="45">
        <v>1000</v>
      </c>
      <c r="K286" s="45">
        <v>0</v>
      </c>
      <c r="L286" s="45"/>
      <c r="M286" s="45"/>
      <c r="N286" s="45"/>
      <c r="O286" s="45"/>
      <c r="P286" s="45">
        <v>338.05</v>
      </c>
      <c r="Q286" s="45"/>
      <c r="R286" s="45">
        <v>661.95</v>
      </c>
      <c r="S286" s="58">
        <v>330</v>
      </c>
      <c r="T286" s="58"/>
      <c r="U286" s="58">
        <v>331.95</v>
      </c>
      <c r="V286" s="59"/>
      <c r="W286" s="31">
        <f t="shared" si="43"/>
        <v>1000</v>
      </c>
      <c r="X286" s="60" t="e">
        <f>#REF!-W286</f>
        <v>#REF!</v>
      </c>
      <c r="Y286" s="60" t="e">
        <f>#REF!-W286</f>
        <v>#REF!</v>
      </c>
      <c r="Z286" s="33">
        <f t="shared" si="44"/>
        <v>0</v>
      </c>
      <c r="AA286" s="33">
        <f t="shared" si="45"/>
        <v>0</v>
      </c>
      <c r="AB286" s="261"/>
      <c r="AC286" s="261"/>
      <c r="AD286" s="261"/>
      <c r="AE286" s="261"/>
      <c r="AF286" s="34" t="s">
        <v>357</v>
      </c>
    </row>
    <row r="287" spans="1:32" ht="15" customHeight="1" x14ac:dyDescent="0.35">
      <c r="A287" s="264"/>
      <c r="B287" s="265"/>
      <c r="C287" s="265"/>
      <c r="D287" s="70" t="s">
        <v>33</v>
      </c>
      <c r="E287" s="50" t="s">
        <v>347</v>
      </c>
      <c r="F287" s="71" t="s">
        <v>73</v>
      </c>
      <c r="G287" s="27" t="s">
        <v>86</v>
      </c>
      <c r="H287" s="27">
        <v>4</v>
      </c>
      <c r="I287" s="45">
        <v>200</v>
      </c>
      <c r="J287" s="45">
        <v>0</v>
      </c>
      <c r="K287" s="45">
        <v>800</v>
      </c>
      <c r="L287" s="45"/>
      <c r="M287" s="45"/>
      <c r="N287" s="45"/>
      <c r="O287" s="45"/>
      <c r="P287" s="45">
        <v>0</v>
      </c>
      <c r="Q287" s="45"/>
      <c r="R287" s="45">
        <v>0</v>
      </c>
      <c r="S287" s="58">
        <v>0</v>
      </c>
      <c r="T287" s="58">
        <v>400</v>
      </c>
      <c r="U287" s="58">
        <v>0</v>
      </c>
      <c r="V287" s="59">
        <v>400</v>
      </c>
      <c r="W287" s="31">
        <f t="shared" si="43"/>
        <v>0</v>
      </c>
      <c r="X287" s="60" t="e">
        <f>#REF!-W287</f>
        <v>#REF!</v>
      </c>
      <c r="Y287" s="60" t="e">
        <f>#REF!-W287</f>
        <v>#REF!</v>
      </c>
      <c r="Z287" s="33">
        <f t="shared" si="44"/>
        <v>800</v>
      </c>
      <c r="AA287" s="33">
        <f t="shared" si="45"/>
        <v>0</v>
      </c>
      <c r="AB287" s="262"/>
      <c r="AC287" s="262"/>
      <c r="AD287" s="261"/>
      <c r="AE287" s="261"/>
      <c r="AF287" s="34" t="s">
        <v>358</v>
      </c>
    </row>
    <row r="288" spans="1:32" ht="15" customHeight="1" x14ac:dyDescent="0.35">
      <c r="A288" s="264"/>
      <c r="B288" s="265"/>
      <c r="C288" s="73"/>
      <c r="D288" s="73"/>
      <c r="E288" s="53"/>
      <c r="F288" s="74"/>
      <c r="G288" s="41"/>
      <c r="H288" s="41"/>
      <c r="I288" s="54"/>
      <c r="J288" s="54">
        <f t="shared" ref="J288:AC288" si="47">SUM(J277:J287)</f>
        <v>236366</v>
      </c>
      <c r="K288" s="54">
        <f t="shared" si="47"/>
        <v>14300</v>
      </c>
      <c r="L288" s="54">
        <f t="shared" si="47"/>
        <v>19311.78</v>
      </c>
      <c r="M288" s="54">
        <f t="shared" si="47"/>
        <v>0</v>
      </c>
      <c r="N288" s="54">
        <f t="shared" si="47"/>
        <v>28778.82</v>
      </c>
      <c r="O288" s="54">
        <f t="shared" si="47"/>
        <v>0</v>
      </c>
      <c r="P288" s="54">
        <f t="shared" si="47"/>
        <v>38047.040000000001</v>
      </c>
      <c r="Q288" s="54">
        <f t="shared" si="47"/>
        <v>0</v>
      </c>
      <c r="R288" s="54">
        <f t="shared" si="47"/>
        <v>150228.36000000002</v>
      </c>
      <c r="S288" s="54">
        <f t="shared" si="47"/>
        <v>37739.31</v>
      </c>
      <c r="T288" s="54">
        <f t="shared" si="47"/>
        <v>7150</v>
      </c>
      <c r="U288" s="54">
        <f t="shared" si="47"/>
        <v>112489.05</v>
      </c>
      <c r="V288" s="54">
        <f t="shared" si="47"/>
        <v>7150</v>
      </c>
      <c r="W288" s="54">
        <f t="shared" si="47"/>
        <v>236366</v>
      </c>
      <c r="X288" s="54" t="e">
        <f t="shared" si="47"/>
        <v>#REF!</v>
      </c>
      <c r="Y288" s="54" t="e">
        <f t="shared" si="47"/>
        <v>#REF!</v>
      </c>
      <c r="Z288" s="54">
        <f t="shared" si="47"/>
        <v>14300</v>
      </c>
      <c r="AA288" s="54">
        <f t="shared" si="47"/>
        <v>1.4551915228366852E-11</v>
      </c>
      <c r="AB288" s="54">
        <f t="shared" si="47"/>
        <v>236366</v>
      </c>
      <c r="AC288" s="54">
        <f t="shared" si="47"/>
        <v>14300</v>
      </c>
      <c r="AD288" s="261"/>
      <c r="AE288" s="261"/>
      <c r="AF288" s="49"/>
    </row>
    <row r="289" spans="1:32" ht="15" customHeight="1" x14ac:dyDescent="0.35">
      <c r="A289" s="264"/>
      <c r="B289" s="265"/>
      <c r="C289" s="265" t="s">
        <v>359</v>
      </c>
      <c r="D289" s="70" t="s">
        <v>17</v>
      </c>
      <c r="E289" s="50" t="s">
        <v>34</v>
      </c>
      <c r="F289" s="71" t="s">
        <v>39</v>
      </c>
      <c r="G289" s="27" t="s">
        <v>40</v>
      </c>
      <c r="H289" s="27">
        <v>1</v>
      </c>
      <c r="I289" s="45">
        <v>300</v>
      </c>
      <c r="J289" s="45">
        <v>300</v>
      </c>
      <c r="K289" s="45">
        <v>0</v>
      </c>
      <c r="L289" s="45"/>
      <c r="M289" s="45"/>
      <c r="N289" s="45"/>
      <c r="O289" s="45"/>
      <c r="P289" s="45">
        <v>0</v>
      </c>
      <c r="Q289" s="45"/>
      <c r="R289" s="45">
        <v>300</v>
      </c>
      <c r="S289" s="58">
        <v>0</v>
      </c>
      <c r="T289" s="58"/>
      <c r="U289" s="58"/>
      <c r="V289" s="59"/>
      <c r="W289" s="31">
        <f t="shared" si="43"/>
        <v>0</v>
      </c>
      <c r="X289" s="60" t="e">
        <f>#REF!-W289</f>
        <v>#REF!</v>
      </c>
      <c r="Y289" s="60" t="e">
        <f>#REF!-W289</f>
        <v>#REF!</v>
      </c>
      <c r="Z289" s="33">
        <f t="shared" si="44"/>
        <v>0</v>
      </c>
      <c r="AA289" s="33">
        <f t="shared" si="45"/>
        <v>300</v>
      </c>
      <c r="AB289" s="260">
        <f>SUM(W289:W292)</f>
        <v>63892.29</v>
      </c>
      <c r="AC289" s="260">
        <f>SUM(Z289:Z292)</f>
        <v>0</v>
      </c>
      <c r="AD289" s="261"/>
      <c r="AE289" s="261"/>
      <c r="AF289" s="34" t="s">
        <v>360</v>
      </c>
    </row>
    <row r="290" spans="1:32" ht="15" customHeight="1" x14ac:dyDescent="0.35">
      <c r="A290" s="264"/>
      <c r="B290" s="265"/>
      <c r="C290" s="265"/>
      <c r="D290" s="70" t="s">
        <v>33</v>
      </c>
      <c r="E290" s="50" t="s">
        <v>361</v>
      </c>
      <c r="F290" s="71" t="s">
        <v>53</v>
      </c>
      <c r="G290" s="27" t="s">
        <v>86</v>
      </c>
      <c r="H290" s="27">
        <v>1</v>
      </c>
      <c r="I290" s="45">
        <v>167000</v>
      </c>
      <c r="J290" s="45">
        <v>0</v>
      </c>
      <c r="K290" s="45">
        <v>167000</v>
      </c>
      <c r="L290" s="45"/>
      <c r="M290" s="45"/>
      <c r="N290" s="45"/>
      <c r="O290" s="45"/>
      <c r="P290" s="45">
        <v>0</v>
      </c>
      <c r="Q290" s="45"/>
      <c r="R290" s="45">
        <v>0</v>
      </c>
      <c r="S290" s="58"/>
      <c r="T290" s="58"/>
      <c r="U290" s="58"/>
      <c r="V290" s="59"/>
      <c r="W290" s="31">
        <f t="shared" si="43"/>
        <v>0</v>
      </c>
      <c r="X290" s="60" t="e">
        <f>#REF!-W290</f>
        <v>#REF!</v>
      </c>
      <c r="Y290" s="60" t="e">
        <f>#REF!-W290</f>
        <v>#REF!</v>
      </c>
      <c r="Z290" s="33">
        <f t="shared" si="44"/>
        <v>0</v>
      </c>
      <c r="AA290" s="33">
        <f t="shared" si="45"/>
        <v>0</v>
      </c>
      <c r="AB290" s="261"/>
      <c r="AC290" s="261"/>
      <c r="AD290" s="261"/>
      <c r="AE290" s="261"/>
      <c r="AF290" s="34" t="s">
        <v>362</v>
      </c>
    </row>
    <row r="291" spans="1:32" ht="15" customHeight="1" x14ac:dyDescent="0.35">
      <c r="A291" s="264"/>
      <c r="B291" s="265"/>
      <c r="C291" s="265"/>
      <c r="D291" s="70" t="s">
        <v>17</v>
      </c>
      <c r="E291" s="50" t="s">
        <v>34</v>
      </c>
      <c r="F291" s="71" t="s">
        <v>130</v>
      </c>
      <c r="G291" s="27" t="s">
        <v>257</v>
      </c>
      <c r="H291" s="27">
        <v>24</v>
      </c>
      <c r="I291" s="45">
        <v>800</v>
      </c>
      <c r="J291" s="45">
        <v>19200</v>
      </c>
      <c r="K291" s="45">
        <v>0</v>
      </c>
      <c r="L291" s="45"/>
      <c r="M291" s="45"/>
      <c r="N291" s="45"/>
      <c r="O291" s="45"/>
      <c r="P291" s="45">
        <v>0</v>
      </c>
      <c r="Q291" s="45"/>
      <c r="R291" s="45">
        <v>19200</v>
      </c>
      <c r="S291" s="58">
        <v>0</v>
      </c>
      <c r="T291" s="58"/>
      <c r="U291" s="58">
        <v>0</v>
      </c>
      <c r="V291" s="59"/>
      <c r="W291" s="31">
        <f t="shared" si="43"/>
        <v>0</v>
      </c>
      <c r="X291" s="60" t="e">
        <f>#REF!-W291</f>
        <v>#REF!</v>
      </c>
      <c r="Y291" s="60" t="e">
        <f>#REF!-W291</f>
        <v>#REF!</v>
      </c>
      <c r="Z291" s="33">
        <f t="shared" si="44"/>
        <v>0</v>
      </c>
      <c r="AA291" s="33">
        <f t="shared" si="45"/>
        <v>19200</v>
      </c>
      <c r="AB291" s="261"/>
      <c r="AC291" s="261"/>
      <c r="AD291" s="261"/>
      <c r="AE291" s="261"/>
      <c r="AF291" s="34" t="s">
        <v>363</v>
      </c>
    </row>
    <row r="292" spans="1:32" ht="15" customHeight="1" x14ac:dyDescent="0.35">
      <c r="A292" s="264"/>
      <c r="B292" s="265"/>
      <c r="C292" s="265"/>
      <c r="D292" s="70" t="s">
        <v>17</v>
      </c>
      <c r="E292" s="50" t="s">
        <v>34</v>
      </c>
      <c r="F292" s="71" t="s">
        <v>69</v>
      </c>
      <c r="G292" s="27" t="s">
        <v>55</v>
      </c>
      <c r="H292" s="27">
        <v>24</v>
      </c>
      <c r="I292" s="45">
        <v>3200</v>
      </c>
      <c r="J292" s="45">
        <v>76800</v>
      </c>
      <c r="K292" s="45">
        <v>0</v>
      </c>
      <c r="L292" s="45">
        <v>63892.29</v>
      </c>
      <c r="M292" s="45"/>
      <c r="N292" s="45"/>
      <c r="O292" s="45"/>
      <c r="P292" s="45">
        <v>0</v>
      </c>
      <c r="Q292" s="45"/>
      <c r="R292" s="45">
        <v>12907.71</v>
      </c>
      <c r="S292" s="58">
        <v>0</v>
      </c>
      <c r="T292" s="58"/>
      <c r="U292" s="58"/>
      <c r="V292" s="59"/>
      <c r="W292" s="31">
        <f t="shared" si="43"/>
        <v>63892.29</v>
      </c>
      <c r="X292" s="60" t="e">
        <f>#REF!-W292</f>
        <v>#REF!</v>
      </c>
      <c r="Y292" s="60" t="e">
        <f>#REF!-W292</f>
        <v>#REF!</v>
      </c>
      <c r="Z292" s="33">
        <f t="shared" si="44"/>
        <v>0</v>
      </c>
      <c r="AA292" s="33">
        <f t="shared" si="45"/>
        <v>12907.71</v>
      </c>
      <c r="AB292" s="262"/>
      <c r="AC292" s="262"/>
      <c r="AD292" s="261"/>
      <c r="AE292" s="261"/>
      <c r="AF292" s="34" t="s">
        <v>364</v>
      </c>
    </row>
    <row r="293" spans="1:32" ht="15" customHeight="1" x14ac:dyDescent="0.35">
      <c r="A293" s="264"/>
      <c r="B293" s="70"/>
      <c r="C293" s="73"/>
      <c r="D293" s="73"/>
      <c r="E293" s="53"/>
      <c r="F293" s="74"/>
      <c r="G293" s="41"/>
      <c r="H293" s="41"/>
      <c r="I293" s="54"/>
      <c r="J293" s="54">
        <f>SUM(J289:J292)</f>
        <v>96300</v>
      </c>
      <c r="K293" s="54">
        <f t="shared" ref="K293:AC293" si="48">SUM(K289:K292)</f>
        <v>167000</v>
      </c>
      <c r="L293" s="54">
        <f t="shared" si="48"/>
        <v>63892.29</v>
      </c>
      <c r="M293" s="54">
        <f t="shared" si="48"/>
        <v>0</v>
      </c>
      <c r="N293" s="54">
        <f t="shared" si="48"/>
        <v>0</v>
      </c>
      <c r="O293" s="54">
        <f t="shared" si="48"/>
        <v>0</v>
      </c>
      <c r="P293" s="54">
        <f t="shared" si="48"/>
        <v>0</v>
      </c>
      <c r="Q293" s="54">
        <f t="shared" si="48"/>
        <v>0</v>
      </c>
      <c r="R293" s="54">
        <f t="shared" si="48"/>
        <v>32407.71</v>
      </c>
      <c r="S293" s="54">
        <f t="shared" si="48"/>
        <v>0</v>
      </c>
      <c r="T293" s="54">
        <f t="shared" si="48"/>
        <v>0</v>
      </c>
      <c r="U293" s="54">
        <f t="shared" si="48"/>
        <v>0</v>
      </c>
      <c r="V293" s="54">
        <f t="shared" si="48"/>
        <v>0</v>
      </c>
      <c r="W293" s="54">
        <f t="shared" si="48"/>
        <v>63892.29</v>
      </c>
      <c r="X293" s="54" t="e">
        <f t="shared" si="48"/>
        <v>#REF!</v>
      </c>
      <c r="Y293" s="54" t="e">
        <f t="shared" si="48"/>
        <v>#REF!</v>
      </c>
      <c r="Z293" s="54">
        <f t="shared" si="48"/>
        <v>0</v>
      </c>
      <c r="AA293" s="54">
        <f t="shared" si="48"/>
        <v>32407.71</v>
      </c>
      <c r="AB293" s="54">
        <f t="shared" si="48"/>
        <v>63892.29</v>
      </c>
      <c r="AC293" s="54">
        <f t="shared" si="48"/>
        <v>0</v>
      </c>
      <c r="AD293" s="261"/>
      <c r="AE293" s="261"/>
      <c r="AF293" s="49"/>
    </row>
    <row r="294" spans="1:32" ht="15" customHeight="1" x14ac:dyDescent="0.35">
      <c r="A294" s="264"/>
      <c r="B294" s="265" t="s">
        <v>365</v>
      </c>
      <c r="C294" s="265" t="s">
        <v>366</v>
      </c>
      <c r="D294" s="70" t="s">
        <v>17</v>
      </c>
      <c r="E294" s="50" t="s">
        <v>161</v>
      </c>
      <c r="F294" s="71" t="s">
        <v>120</v>
      </c>
      <c r="G294" s="27" t="s">
        <v>58</v>
      </c>
      <c r="H294" s="27">
        <v>600</v>
      </c>
      <c r="I294" s="45">
        <v>500</v>
      </c>
      <c r="J294" s="45">
        <v>300000</v>
      </c>
      <c r="K294" s="45">
        <v>0</v>
      </c>
      <c r="L294" s="45"/>
      <c r="M294" s="45"/>
      <c r="N294" s="45"/>
      <c r="O294" s="45"/>
      <c r="P294" s="45">
        <v>53375</v>
      </c>
      <c r="Q294" s="45"/>
      <c r="R294" s="45">
        <v>246625</v>
      </c>
      <c r="S294" s="58">
        <v>59675</v>
      </c>
      <c r="T294" s="58"/>
      <c r="U294" s="58">
        <v>153000</v>
      </c>
      <c r="V294" s="59"/>
      <c r="W294" s="31">
        <f t="shared" si="43"/>
        <v>266050</v>
      </c>
      <c r="X294" s="60" t="e">
        <f>#REF!-W294</f>
        <v>#REF!</v>
      </c>
      <c r="Y294" s="60"/>
      <c r="Z294" s="33">
        <f t="shared" si="44"/>
        <v>0</v>
      </c>
      <c r="AA294" s="33">
        <f t="shared" si="45"/>
        <v>33950</v>
      </c>
      <c r="AB294" s="260">
        <f>SUM(W294:W311)</f>
        <v>1092250</v>
      </c>
      <c r="AC294" s="260">
        <f>SUM(Z294:Z311)</f>
        <v>20000</v>
      </c>
      <c r="AD294" s="261"/>
      <c r="AE294" s="261"/>
      <c r="AF294" s="34" t="s">
        <v>367</v>
      </c>
    </row>
    <row r="295" spans="1:32" ht="15" customHeight="1" x14ac:dyDescent="0.35">
      <c r="A295" s="264"/>
      <c r="B295" s="265"/>
      <c r="C295" s="265"/>
      <c r="D295" s="70" t="s">
        <v>33</v>
      </c>
      <c r="E295" s="50" t="s">
        <v>34</v>
      </c>
      <c r="F295" s="71" t="s">
        <v>28</v>
      </c>
      <c r="G295" s="27" t="s">
        <v>29</v>
      </c>
      <c r="H295" s="27">
        <v>5</v>
      </c>
      <c r="I295" s="45">
        <v>4000</v>
      </c>
      <c r="J295" s="45">
        <v>0</v>
      </c>
      <c r="K295" s="45">
        <v>20000</v>
      </c>
      <c r="L295" s="45"/>
      <c r="M295" s="45"/>
      <c r="N295" s="45"/>
      <c r="O295" s="45"/>
      <c r="P295" s="45">
        <v>0</v>
      </c>
      <c r="Q295" s="45"/>
      <c r="R295" s="45">
        <v>0</v>
      </c>
      <c r="S295" s="58"/>
      <c r="T295" s="58">
        <v>10000</v>
      </c>
      <c r="U295" s="58">
        <v>0</v>
      </c>
      <c r="V295" s="59">
        <v>10000</v>
      </c>
      <c r="W295" s="31">
        <f t="shared" si="43"/>
        <v>0</v>
      </c>
      <c r="X295" s="60" t="e">
        <f>#REF!-W295</f>
        <v>#REF!</v>
      </c>
      <c r="Y295" s="60"/>
      <c r="Z295" s="33">
        <f t="shared" si="44"/>
        <v>20000</v>
      </c>
      <c r="AA295" s="33">
        <f t="shared" si="45"/>
        <v>0</v>
      </c>
      <c r="AB295" s="261"/>
      <c r="AC295" s="261"/>
      <c r="AD295" s="261"/>
      <c r="AE295" s="261"/>
      <c r="AF295" s="34" t="s">
        <v>368</v>
      </c>
    </row>
    <row r="296" spans="1:32" ht="15" customHeight="1" x14ac:dyDescent="0.35">
      <c r="A296" s="264"/>
      <c r="B296" s="265"/>
      <c r="C296" s="265"/>
      <c r="D296" s="70" t="s">
        <v>17</v>
      </c>
      <c r="E296" s="50" t="s">
        <v>34</v>
      </c>
      <c r="F296" s="71" t="s">
        <v>369</v>
      </c>
      <c r="G296" s="27" t="s">
        <v>86</v>
      </c>
      <c r="H296" s="27">
        <v>6</v>
      </c>
      <c r="I296" s="45">
        <v>10000</v>
      </c>
      <c r="J296" s="45">
        <v>60000</v>
      </c>
      <c r="K296" s="45">
        <v>0</v>
      </c>
      <c r="L296" s="45"/>
      <c r="M296" s="45"/>
      <c r="N296" s="45"/>
      <c r="O296" s="45"/>
      <c r="P296" s="45">
        <v>73510.959999999992</v>
      </c>
      <c r="Q296" s="45"/>
      <c r="R296" s="45">
        <v>-13510.959999999992</v>
      </c>
      <c r="S296" s="58">
        <v>0</v>
      </c>
      <c r="T296" s="58"/>
      <c r="U296" s="58">
        <v>0</v>
      </c>
      <c r="V296" s="59"/>
      <c r="W296" s="31">
        <f t="shared" si="43"/>
        <v>73510.959999999992</v>
      </c>
      <c r="X296" s="60" t="e">
        <f>#REF!-W296</f>
        <v>#REF!</v>
      </c>
      <c r="Y296" s="60"/>
      <c r="Z296" s="33">
        <f t="shared" si="44"/>
        <v>0</v>
      </c>
      <c r="AA296" s="33">
        <f t="shared" si="45"/>
        <v>-13510.959999999992</v>
      </c>
      <c r="AB296" s="261"/>
      <c r="AC296" s="261"/>
      <c r="AD296" s="261"/>
      <c r="AE296" s="261"/>
      <c r="AF296" s="34" t="s">
        <v>370</v>
      </c>
    </row>
    <row r="297" spans="1:32" ht="15" customHeight="1" x14ac:dyDescent="0.35">
      <c r="A297" s="264"/>
      <c r="B297" s="265"/>
      <c r="C297" s="265"/>
      <c r="D297" s="70" t="s">
        <v>17</v>
      </c>
      <c r="E297" s="50" t="s">
        <v>34</v>
      </c>
      <c r="F297" s="71" t="s">
        <v>369</v>
      </c>
      <c r="G297" s="27" t="s">
        <v>86</v>
      </c>
      <c r="H297" s="27">
        <v>6</v>
      </c>
      <c r="I297" s="45">
        <v>10000</v>
      </c>
      <c r="J297" s="45">
        <v>60000</v>
      </c>
      <c r="K297" s="45">
        <v>0</v>
      </c>
      <c r="L297" s="45"/>
      <c r="M297" s="45"/>
      <c r="N297" s="45"/>
      <c r="O297" s="45"/>
      <c r="P297" s="45">
        <v>0</v>
      </c>
      <c r="Q297" s="45"/>
      <c r="R297" s="45">
        <v>60000</v>
      </c>
      <c r="S297" s="58">
        <v>60000</v>
      </c>
      <c r="T297" s="58"/>
      <c r="U297" s="58">
        <v>0</v>
      </c>
      <c r="V297" s="59"/>
      <c r="W297" s="31">
        <f t="shared" si="43"/>
        <v>60000</v>
      </c>
      <c r="X297" s="60" t="e">
        <f>#REF!-W297</f>
        <v>#REF!</v>
      </c>
      <c r="Y297" s="60"/>
      <c r="Z297" s="33">
        <f t="shared" si="44"/>
        <v>0</v>
      </c>
      <c r="AA297" s="33">
        <f t="shared" si="45"/>
        <v>0</v>
      </c>
      <c r="AB297" s="261"/>
      <c r="AC297" s="261"/>
      <c r="AD297" s="261"/>
      <c r="AE297" s="261"/>
      <c r="AF297" s="34" t="s">
        <v>371</v>
      </c>
    </row>
    <row r="298" spans="1:32" ht="15" customHeight="1" x14ac:dyDescent="0.35">
      <c r="A298" s="264"/>
      <c r="B298" s="265"/>
      <c r="C298" s="265"/>
      <c r="D298" s="70" t="s">
        <v>17</v>
      </c>
      <c r="E298" s="50" t="s">
        <v>34</v>
      </c>
      <c r="F298" s="71" t="s">
        <v>369</v>
      </c>
      <c r="G298" s="27" t="s">
        <v>86</v>
      </c>
      <c r="H298" s="27">
        <v>12</v>
      </c>
      <c r="I298" s="45">
        <v>3000</v>
      </c>
      <c r="J298" s="45">
        <v>96000</v>
      </c>
      <c r="K298" s="45">
        <v>0</v>
      </c>
      <c r="L298" s="45"/>
      <c r="M298" s="45"/>
      <c r="N298" s="45"/>
      <c r="O298" s="45"/>
      <c r="P298" s="45">
        <v>3852.61</v>
      </c>
      <c r="Q298" s="45"/>
      <c r="R298" s="45">
        <v>92147.39</v>
      </c>
      <c r="S298" s="58">
        <v>24200</v>
      </c>
      <c r="T298" s="58"/>
      <c r="U298" s="58">
        <v>202200</v>
      </c>
      <c r="V298" s="59"/>
      <c r="W298" s="31">
        <f t="shared" si="43"/>
        <v>230252.61</v>
      </c>
      <c r="X298" s="60" t="e">
        <f>#REF!-W298</f>
        <v>#REF!</v>
      </c>
      <c r="Y298" s="60"/>
      <c r="Z298" s="33">
        <f t="shared" si="44"/>
        <v>0</v>
      </c>
      <c r="AA298" s="33">
        <f t="shared" si="45"/>
        <v>-134252.60999999999</v>
      </c>
      <c r="AB298" s="261"/>
      <c r="AC298" s="261"/>
      <c r="AD298" s="261"/>
      <c r="AE298" s="261"/>
      <c r="AF298" s="34" t="s">
        <v>372</v>
      </c>
    </row>
    <row r="299" spans="1:32" ht="15" customHeight="1" x14ac:dyDescent="0.35">
      <c r="A299" s="264"/>
      <c r="B299" s="265"/>
      <c r="C299" s="265"/>
      <c r="D299" s="70" t="s">
        <v>17</v>
      </c>
      <c r="E299" s="50" t="s">
        <v>34</v>
      </c>
      <c r="F299" s="71" t="s">
        <v>61</v>
      </c>
      <c r="G299" s="27" t="s">
        <v>62</v>
      </c>
      <c r="H299" s="27">
        <v>12</v>
      </c>
      <c r="I299" s="45">
        <v>400</v>
      </c>
      <c r="J299" s="45">
        <v>4800</v>
      </c>
      <c r="K299" s="45">
        <v>0</v>
      </c>
      <c r="L299" s="45"/>
      <c r="M299" s="45"/>
      <c r="N299" s="45"/>
      <c r="O299" s="45"/>
      <c r="P299" s="45">
        <v>0</v>
      </c>
      <c r="Q299" s="45"/>
      <c r="R299" s="45">
        <v>4800</v>
      </c>
      <c r="S299" s="58">
        <v>0</v>
      </c>
      <c r="T299" s="58"/>
      <c r="U299" s="58">
        <v>0</v>
      </c>
      <c r="V299" s="59"/>
      <c r="W299" s="31">
        <f t="shared" si="43"/>
        <v>0</v>
      </c>
      <c r="X299" s="60" t="e">
        <f>#REF!-W299</f>
        <v>#REF!</v>
      </c>
      <c r="Y299" s="60"/>
      <c r="Z299" s="33">
        <f t="shared" si="44"/>
        <v>0</v>
      </c>
      <c r="AA299" s="33">
        <f t="shared" si="45"/>
        <v>4800</v>
      </c>
      <c r="AB299" s="261"/>
      <c r="AC299" s="261"/>
      <c r="AD299" s="261"/>
      <c r="AE299" s="261"/>
      <c r="AF299" s="34" t="s">
        <v>373</v>
      </c>
    </row>
    <row r="300" spans="1:32" ht="15" customHeight="1" x14ac:dyDescent="0.35">
      <c r="A300" s="264"/>
      <c r="B300" s="265"/>
      <c r="C300" s="265"/>
      <c r="D300" s="70" t="s">
        <v>17</v>
      </c>
      <c r="E300" s="50" t="s">
        <v>34</v>
      </c>
      <c r="F300" s="71" t="s">
        <v>53</v>
      </c>
      <c r="G300" s="27" t="s">
        <v>283</v>
      </c>
      <c r="H300" s="27">
        <v>12</v>
      </c>
      <c r="I300" s="45">
        <v>12</v>
      </c>
      <c r="J300" s="45">
        <v>57600</v>
      </c>
      <c r="K300" s="45">
        <v>0</v>
      </c>
      <c r="L300" s="45"/>
      <c r="M300" s="45"/>
      <c r="N300" s="45"/>
      <c r="O300" s="45"/>
      <c r="P300" s="45">
        <v>44120.100000000006</v>
      </c>
      <c r="Q300" s="45"/>
      <c r="R300" s="45">
        <v>13479.899999999994</v>
      </c>
      <c r="S300" s="58">
        <v>0</v>
      </c>
      <c r="T300" s="58"/>
      <c r="U300" s="58">
        <v>0</v>
      </c>
      <c r="V300" s="59"/>
      <c r="W300" s="31">
        <f t="shared" si="43"/>
        <v>44120.100000000006</v>
      </c>
      <c r="X300" s="60" t="e">
        <f>#REF!-W300</f>
        <v>#REF!</v>
      </c>
      <c r="Y300" s="60"/>
      <c r="Z300" s="33">
        <f t="shared" si="44"/>
        <v>0</v>
      </c>
      <c r="AA300" s="33">
        <f t="shared" si="45"/>
        <v>13479.899999999994</v>
      </c>
      <c r="AB300" s="261"/>
      <c r="AC300" s="261"/>
      <c r="AD300" s="261"/>
      <c r="AE300" s="261"/>
      <c r="AF300" s="34" t="s">
        <v>374</v>
      </c>
    </row>
    <row r="301" spans="1:32" ht="15" customHeight="1" x14ac:dyDescent="0.35">
      <c r="A301" s="264"/>
      <c r="B301" s="265"/>
      <c r="C301" s="265"/>
      <c r="D301" s="70" t="s">
        <v>17</v>
      </c>
      <c r="E301" s="50" t="s">
        <v>34</v>
      </c>
      <c r="F301" s="71" t="s">
        <v>69</v>
      </c>
      <c r="G301" s="27" t="s">
        <v>55</v>
      </c>
      <c r="H301" s="27">
        <v>114</v>
      </c>
      <c r="I301" s="45">
        <v>1100</v>
      </c>
      <c r="J301" s="45">
        <v>125400</v>
      </c>
      <c r="K301" s="45">
        <v>0</v>
      </c>
      <c r="L301" s="45"/>
      <c r="M301" s="45"/>
      <c r="N301" s="45"/>
      <c r="O301" s="45"/>
      <c r="P301" s="45">
        <v>0</v>
      </c>
      <c r="Q301" s="45"/>
      <c r="R301" s="45">
        <v>125400</v>
      </c>
      <c r="S301" s="58">
        <v>26693.22</v>
      </c>
      <c r="T301" s="58"/>
      <c r="U301" s="58">
        <f>17400+25000</f>
        <v>42400</v>
      </c>
      <c r="V301" s="59"/>
      <c r="W301" s="31">
        <f t="shared" si="43"/>
        <v>69093.22</v>
      </c>
      <c r="X301" s="60" t="e">
        <f>#REF!-W301</f>
        <v>#REF!</v>
      </c>
      <c r="Y301" s="60"/>
      <c r="Z301" s="33">
        <f t="shared" si="44"/>
        <v>0</v>
      </c>
      <c r="AA301" s="33">
        <f t="shared" si="45"/>
        <v>56306.78</v>
      </c>
      <c r="AB301" s="261"/>
      <c r="AC301" s="261"/>
      <c r="AD301" s="261"/>
      <c r="AE301" s="261"/>
      <c r="AF301" s="34" t="s">
        <v>375</v>
      </c>
    </row>
    <row r="302" spans="1:32" ht="15" customHeight="1" x14ac:dyDescent="0.35">
      <c r="A302" s="264"/>
      <c r="B302" s="265"/>
      <c r="C302" s="265"/>
      <c r="D302" s="70" t="s">
        <v>17</v>
      </c>
      <c r="E302" s="50" t="s">
        <v>34</v>
      </c>
      <c r="F302" s="71" t="s">
        <v>69</v>
      </c>
      <c r="G302" s="27" t="s">
        <v>55</v>
      </c>
      <c r="H302" s="27">
        <v>96</v>
      </c>
      <c r="I302" s="45">
        <v>1100</v>
      </c>
      <c r="J302" s="45">
        <v>92400</v>
      </c>
      <c r="K302" s="45">
        <v>0</v>
      </c>
      <c r="L302" s="45"/>
      <c r="M302" s="45"/>
      <c r="N302" s="45"/>
      <c r="O302" s="45"/>
      <c r="P302" s="45">
        <v>0</v>
      </c>
      <c r="Q302" s="45"/>
      <c r="R302" s="45">
        <v>92400</v>
      </c>
      <c r="S302" s="58">
        <v>0</v>
      </c>
      <c r="T302" s="58"/>
      <c r="U302" s="58">
        <v>0</v>
      </c>
      <c r="V302" s="59"/>
      <c r="W302" s="31">
        <f t="shared" si="43"/>
        <v>0</v>
      </c>
      <c r="X302" s="60" t="e">
        <f>#REF!-W302</f>
        <v>#REF!</v>
      </c>
      <c r="Y302" s="60"/>
      <c r="Z302" s="33">
        <f t="shared" si="44"/>
        <v>0</v>
      </c>
      <c r="AA302" s="33">
        <f t="shared" si="45"/>
        <v>92400</v>
      </c>
      <c r="AB302" s="261"/>
      <c r="AC302" s="261"/>
      <c r="AD302" s="261"/>
      <c r="AE302" s="261"/>
      <c r="AF302" s="34" t="s">
        <v>376</v>
      </c>
    </row>
    <row r="303" spans="1:32" ht="15" customHeight="1" x14ac:dyDescent="0.35">
      <c r="A303" s="264"/>
      <c r="B303" s="265"/>
      <c r="C303" s="265"/>
      <c r="D303" s="70" t="s">
        <v>17</v>
      </c>
      <c r="E303" s="50" t="s">
        <v>34</v>
      </c>
      <c r="F303" s="71" t="s">
        <v>69</v>
      </c>
      <c r="G303" s="27" t="s">
        <v>55</v>
      </c>
      <c r="H303" s="27">
        <v>48</v>
      </c>
      <c r="I303" s="45">
        <v>1000</v>
      </c>
      <c r="J303" s="45">
        <v>48000</v>
      </c>
      <c r="K303" s="45">
        <v>0</v>
      </c>
      <c r="L303" s="45"/>
      <c r="M303" s="45"/>
      <c r="N303" s="45"/>
      <c r="O303" s="45"/>
      <c r="P303" s="45">
        <v>2877.18</v>
      </c>
      <c r="Q303" s="45"/>
      <c r="R303" s="45">
        <v>45122.82</v>
      </c>
      <c r="S303" s="58">
        <v>0</v>
      </c>
      <c r="T303" s="58"/>
      <c r="U303" s="58">
        <v>0</v>
      </c>
      <c r="V303" s="59"/>
      <c r="W303" s="31">
        <f t="shared" si="43"/>
        <v>2877.18</v>
      </c>
      <c r="X303" s="60" t="e">
        <f>#REF!-W303</f>
        <v>#REF!</v>
      </c>
      <c r="Y303" s="60"/>
      <c r="Z303" s="33">
        <f t="shared" si="44"/>
        <v>0</v>
      </c>
      <c r="AA303" s="33">
        <f t="shared" si="45"/>
        <v>45122.82</v>
      </c>
      <c r="AB303" s="261"/>
      <c r="AC303" s="261"/>
      <c r="AD303" s="261"/>
      <c r="AE303" s="261"/>
      <c r="AF303" s="34" t="s">
        <v>377</v>
      </c>
    </row>
    <row r="304" spans="1:32" ht="15" customHeight="1" x14ac:dyDescent="0.35">
      <c r="A304" s="264"/>
      <c r="B304" s="265"/>
      <c r="C304" s="265"/>
      <c r="D304" s="70" t="s">
        <v>17</v>
      </c>
      <c r="E304" s="50" t="s">
        <v>34</v>
      </c>
      <c r="F304" s="71" t="s">
        <v>130</v>
      </c>
      <c r="G304" s="27" t="s">
        <v>257</v>
      </c>
      <c r="H304" s="27">
        <v>12</v>
      </c>
      <c r="I304" s="45">
        <v>800</v>
      </c>
      <c r="J304" s="45">
        <v>9600</v>
      </c>
      <c r="K304" s="45">
        <v>0</v>
      </c>
      <c r="L304" s="45"/>
      <c r="M304" s="45"/>
      <c r="N304" s="45"/>
      <c r="O304" s="45"/>
      <c r="P304" s="45">
        <v>0</v>
      </c>
      <c r="Q304" s="45"/>
      <c r="R304" s="45">
        <v>9600</v>
      </c>
      <c r="S304" s="58">
        <v>0</v>
      </c>
      <c r="T304" s="58"/>
      <c r="U304" s="58">
        <v>0</v>
      </c>
      <c r="V304" s="59"/>
      <c r="W304" s="31">
        <f t="shared" si="43"/>
        <v>0</v>
      </c>
      <c r="X304" s="60" t="e">
        <f>#REF!-W304</f>
        <v>#REF!</v>
      </c>
      <c r="Y304" s="60"/>
      <c r="Z304" s="33">
        <f t="shared" si="44"/>
        <v>0</v>
      </c>
      <c r="AA304" s="33">
        <f t="shared" si="45"/>
        <v>9600</v>
      </c>
      <c r="AB304" s="261"/>
      <c r="AC304" s="261"/>
      <c r="AD304" s="261"/>
      <c r="AE304" s="261"/>
      <c r="AF304" s="34" t="s">
        <v>378</v>
      </c>
    </row>
    <row r="305" spans="1:32" ht="15" customHeight="1" x14ac:dyDescent="0.35">
      <c r="A305" s="264"/>
      <c r="B305" s="265"/>
      <c r="C305" s="265"/>
      <c r="D305" s="70" t="s">
        <v>17</v>
      </c>
      <c r="E305" s="50" t="s">
        <v>34</v>
      </c>
      <c r="F305" s="71" t="s">
        <v>39</v>
      </c>
      <c r="G305" s="27" t="s">
        <v>40</v>
      </c>
      <c r="H305" s="27">
        <v>1</v>
      </c>
      <c r="I305" s="45">
        <v>450</v>
      </c>
      <c r="J305" s="45">
        <v>450</v>
      </c>
      <c r="K305" s="45">
        <v>0</v>
      </c>
      <c r="L305" s="45"/>
      <c r="M305" s="45"/>
      <c r="N305" s="45"/>
      <c r="O305" s="45"/>
      <c r="P305" s="45">
        <v>245.93</v>
      </c>
      <c r="Q305" s="45"/>
      <c r="R305" s="45">
        <v>204.07</v>
      </c>
      <c r="S305" s="58">
        <v>0</v>
      </c>
      <c r="T305" s="58"/>
      <c r="U305" s="58">
        <v>0</v>
      </c>
      <c r="V305" s="59"/>
      <c r="W305" s="31">
        <f t="shared" si="43"/>
        <v>245.93</v>
      </c>
      <c r="X305" s="60" t="e">
        <f>#REF!-W305</f>
        <v>#REF!</v>
      </c>
      <c r="Y305" s="60"/>
      <c r="Z305" s="33">
        <f t="shared" si="44"/>
        <v>0</v>
      </c>
      <c r="AA305" s="33">
        <f t="shared" si="45"/>
        <v>204.07</v>
      </c>
      <c r="AB305" s="261"/>
      <c r="AC305" s="261"/>
      <c r="AD305" s="261"/>
      <c r="AE305" s="261"/>
      <c r="AF305" s="34" t="s">
        <v>379</v>
      </c>
    </row>
    <row r="306" spans="1:32" ht="15" customHeight="1" x14ac:dyDescent="0.35">
      <c r="A306" s="264"/>
      <c r="B306" s="265"/>
      <c r="C306" s="265"/>
      <c r="D306" s="70" t="s">
        <v>17</v>
      </c>
      <c r="E306" s="50" t="s">
        <v>34</v>
      </c>
      <c r="F306" s="71" t="s">
        <v>127</v>
      </c>
      <c r="G306" s="27" t="s">
        <v>55</v>
      </c>
      <c r="H306" s="27">
        <v>42</v>
      </c>
      <c r="I306" s="45">
        <v>500</v>
      </c>
      <c r="J306" s="45">
        <v>21000</v>
      </c>
      <c r="K306" s="45">
        <v>0</v>
      </c>
      <c r="L306" s="45"/>
      <c r="M306" s="45"/>
      <c r="N306" s="45"/>
      <c r="O306" s="45"/>
      <c r="P306" s="45">
        <v>0</v>
      </c>
      <c r="Q306" s="45"/>
      <c r="R306" s="45">
        <v>21000</v>
      </c>
      <c r="S306" s="58">
        <v>1000</v>
      </c>
      <c r="T306" s="58"/>
      <c r="U306" s="58">
        <v>0</v>
      </c>
      <c r="V306" s="59"/>
      <c r="W306" s="31">
        <f t="shared" si="43"/>
        <v>1000</v>
      </c>
      <c r="X306" s="60" t="e">
        <f>#REF!-W306</f>
        <v>#REF!</v>
      </c>
      <c r="Y306" s="60"/>
      <c r="Z306" s="33">
        <f t="shared" si="44"/>
        <v>0</v>
      </c>
      <c r="AA306" s="33">
        <f t="shared" si="45"/>
        <v>20000</v>
      </c>
      <c r="AB306" s="261"/>
      <c r="AC306" s="261"/>
      <c r="AD306" s="261"/>
      <c r="AE306" s="261"/>
      <c r="AF306" s="34" t="s">
        <v>380</v>
      </c>
    </row>
    <row r="307" spans="1:32" ht="15" customHeight="1" x14ac:dyDescent="0.35">
      <c r="A307" s="264"/>
      <c r="B307" s="265"/>
      <c r="C307" s="265"/>
      <c r="D307" s="70" t="s">
        <v>17</v>
      </c>
      <c r="E307" s="50" t="s">
        <v>34</v>
      </c>
      <c r="F307" s="71" t="s">
        <v>123</v>
      </c>
      <c r="G307" s="27" t="s">
        <v>86</v>
      </c>
      <c r="H307" s="27">
        <v>12</v>
      </c>
      <c r="I307" s="45">
        <v>2000</v>
      </c>
      <c r="J307" s="45">
        <v>24000</v>
      </c>
      <c r="K307" s="45">
        <v>0</v>
      </c>
      <c r="L307" s="45"/>
      <c r="M307" s="45"/>
      <c r="N307" s="45"/>
      <c r="O307" s="45"/>
      <c r="P307" s="45">
        <v>0</v>
      </c>
      <c r="Q307" s="45"/>
      <c r="R307" s="45">
        <v>24000</v>
      </c>
      <c r="S307" s="58">
        <v>3000</v>
      </c>
      <c r="T307" s="58"/>
      <c r="U307" s="58">
        <v>6000</v>
      </c>
      <c r="V307" s="59"/>
      <c r="W307" s="31">
        <f t="shared" si="43"/>
        <v>9000</v>
      </c>
      <c r="X307" s="60" t="e">
        <f>#REF!-W307</f>
        <v>#REF!</v>
      </c>
      <c r="Y307" s="60"/>
      <c r="Z307" s="33">
        <f t="shared" si="44"/>
        <v>0</v>
      </c>
      <c r="AA307" s="33">
        <f t="shared" si="45"/>
        <v>15000</v>
      </c>
      <c r="AB307" s="261"/>
      <c r="AC307" s="261"/>
      <c r="AD307" s="261"/>
      <c r="AE307" s="261"/>
      <c r="AF307" s="34" t="s">
        <v>381</v>
      </c>
    </row>
    <row r="308" spans="1:32" ht="15" customHeight="1" x14ac:dyDescent="0.35">
      <c r="A308" s="264"/>
      <c r="B308" s="265"/>
      <c r="C308" s="265"/>
      <c r="D308" s="70" t="s">
        <v>17</v>
      </c>
      <c r="E308" s="50" t="s">
        <v>34</v>
      </c>
      <c r="F308" s="71" t="s">
        <v>73</v>
      </c>
      <c r="G308" s="27" t="s">
        <v>86</v>
      </c>
      <c r="H308" s="27">
        <v>4</v>
      </c>
      <c r="I308" s="45">
        <v>250</v>
      </c>
      <c r="J308" s="45">
        <v>1000</v>
      </c>
      <c r="K308" s="45">
        <v>0</v>
      </c>
      <c r="L308" s="45"/>
      <c r="M308" s="45"/>
      <c r="N308" s="45"/>
      <c r="O308" s="45"/>
      <c r="P308" s="45">
        <v>0</v>
      </c>
      <c r="Q308" s="45"/>
      <c r="R308" s="45">
        <v>1000</v>
      </c>
      <c r="S308" s="58">
        <v>0</v>
      </c>
      <c r="T308" s="58"/>
      <c r="U308" s="58">
        <v>5000</v>
      </c>
      <c r="V308" s="59"/>
      <c r="W308" s="31">
        <f t="shared" si="43"/>
        <v>5000</v>
      </c>
      <c r="X308" s="60" t="e">
        <f>#REF!-W308</f>
        <v>#REF!</v>
      </c>
      <c r="Y308" s="60"/>
      <c r="Z308" s="33">
        <f t="shared" si="44"/>
        <v>0</v>
      </c>
      <c r="AA308" s="33">
        <f t="shared" si="45"/>
        <v>-4000</v>
      </c>
      <c r="AB308" s="261"/>
      <c r="AC308" s="261"/>
      <c r="AD308" s="261"/>
      <c r="AE308" s="261"/>
      <c r="AF308" s="34" t="s">
        <v>382</v>
      </c>
    </row>
    <row r="309" spans="1:32" ht="15" customHeight="1" x14ac:dyDescent="0.35">
      <c r="A309" s="264"/>
      <c r="B309" s="265"/>
      <c r="C309" s="265"/>
      <c r="D309" s="70" t="s">
        <v>17</v>
      </c>
      <c r="E309" s="50" t="s">
        <v>34</v>
      </c>
      <c r="F309" s="71" t="s">
        <v>130</v>
      </c>
      <c r="G309" s="27" t="s">
        <v>40</v>
      </c>
      <c r="H309" s="27">
        <v>42</v>
      </c>
      <c r="I309" s="45">
        <v>1000</v>
      </c>
      <c r="J309" s="45">
        <v>42000</v>
      </c>
      <c r="K309" s="45">
        <v>0</v>
      </c>
      <c r="L309" s="45"/>
      <c r="M309" s="45"/>
      <c r="N309" s="45"/>
      <c r="O309" s="45"/>
      <c r="P309" s="45">
        <v>0</v>
      </c>
      <c r="Q309" s="45"/>
      <c r="R309" s="45">
        <v>42000</v>
      </c>
      <c r="S309" s="58">
        <v>15000</v>
      </c>
      <c r="T309" s="58"/>
      <c r="U309" s="58">
        <v>10000</v>
      </c>
      <c r="V309" s="59"/>
      <c r="W309" s="31">
        <f t="shared" si="43"/>
        <v>25000</v>
      </c>
      <c r="X309" s="60" t="e">
        <f>#REF!-W309</f>
        <v>#REF!</v>
      </c>
      <c r="Y309" s="60"/>
      <c r="Z309" s="33">
        <f t="shared" si="44"/>
        <v>0</v>
      </c>
      <c r="AA309" s="33">
        <f t="shared" si="45"/>
        <v>17000</v>
      </c>
      <c r="AB309" s="261"/>
      <c r="AC309" s="261"/>
      <c r="AD309" s="261"/>
      <c r="AE309" s="261"/>
      <c r="AF309" s="34" t="s">
        <v>383</v>
      </c>
    </row>
    <row r="310" spans="1:32" ht="15" customHeight="1" x14ac:dyDescent="0.35">
      <c r="A310" s="264"/>
      <c r="B310" s="265"/>
      <c r="C310" s="265"/>
      <c r="D310" s="50" t="s">
        <v>17</v>
      </c>
      <c r="E310" s="50" t="s">
        <v>34</v>
      </c>
      <c r="F310" s="71" t="s">
        <v>53</v>
      </c>
      <c r="G310" s="27" t="s">
        <v>86</v>
      </c>
      <c r="H310" s="27">
        <v>10</v>
      </c>
      <c r="I310" s="45">
        <v>5000</v>
      </c>
      <c r="J310" s="45">
        <v>50000</v>
      </c>
      <c r="K310" s="45">
        <v>0</v>
      </c>
      <c r="L310" s="45"/>
      <c r="M310" s="45"/>
      <c r="N310" s="45"/>
      <c r="O310" s="45"/>
      <c r="P310" s="45">
        <v>0</v>
      </c>
      <c r="Q310" s="45"/>
      <c r="R310" s="45">
        <v>50000</v>
      </c>
      <c r="S310" s="58">
        <v>8700</v>
      </c>
      <c r="T310" s="58"/>
      <c r="U310" s="58">
        <v>97400</v>
      </c>
      <c r="V310" s="59"/>
      <c r="W310" s="31">
        <f t="shared" si="43"/>
        <v>106100</v>
      </c>
      <c r="X310" s="60" t="e">
        <f>#REF!-W310</f>
        <v>#REF!</v>
      </c>
      <c r="Y310" s="60"/>
      <c r="Z310" s="33">
        <f t="shared" si="44"/>
        <v>0</v>
      </c>
      <c r="AA310" s="33">
        <f t="shared" si="45"/>
        <v>-56100</v>
      </c>
      <c r="AB310" s="261"/>
      <c r="AC310" s="261"/>
      <c r="AD310" s="261"/>
      <c r="AE310" s="261"/>
      <c r="AF310" s="34" t="s">
        <v>384</v>
      </c>
    </row>
    <row r="311" spans="1:32" ht="15" customHeight="1" x14ac:dyDescent="0.35">
      <c r="A311" s="264"/>
      <c r="B311" s="265"/>
      <c r="C311" s="265"/>
      <c r="D311" s="70" t="s">
        <v>17</v>
      </c>
      <c r="E311" s="50" t="s">
        <v>34</v>
      </c>
      <c r="F311" s="71" t="s">
        <v>53</v>
      </c>
      <c r="G311" s="27" t="s">
        <v>86</v>
      </c>
      <c r="H311" s="27">
        <v>4</v>
      </c>
      <c r="I311" s="45">
        <v>25000</v>
      </c>
      <c r="J311" s="45">
        <v>100000</v>
      </c>
      <c r="K311" s="45">
        <v>0</v>
      </c>
      <c r="L311" s="45"/>
      <c r="M311" s="45"/>
      <c r="N311" s="45"/>
      <c r="O311" s="45"/>
      <c r="P311" s="45"/>
      <c r="Q311" s="45"/>
      <c r="R311" s="45">
        <v>100000</v>
      </c>
      <c r="S311" s="58">
        <v>0</v>
      </c>
      <c r="T311" s="58"/>
      <c r="U311" s="58">
        <v>200000</v>
      </c>
      <c r="V311" s="59"/>
      <c r="W311" s="31">
        <f t="shared" si="43"/>
        <v>200000</v>
      </c>
      <c r="X311" s="60" t="e">
        <f>#REF!-W311</f>
        <v>#REF!</v>
      </c>
      <c r="Y311" s="60"/>
      <c r="Z311" s="33">
        <f t="shared" si="44"/>
        <v>0</v>
      </c>
      <c r="AA311" s="33">
        <f t="shared" si="45"/>
        <v>-100000</v>
      </c>
      <c r="AB311" s="262"/>
      <c r="AC311" s="262"/>
      <c r="AD311" s="261"/>
      <c r="AE311" s="261"/>
      <c r="AF311" s="34" t="s">
        <v>385</v>
      </c>
    </row>
    <row r="312" spans="1:32" ht="15" customHeight="1" x14ac:dyDescent="0.35">
      <c r="A312" s="264"/>
      <c r="B312" s="70"/>
      <c r="C312" s="73"/>
      <c r="D312" s="73"/>
      <c r="E312" s="53"/>
      <c r="F312" s="74"/>
      <c r="G312" s="41"/>
      <c r="H312" s="41"/>
      <c r="I312" s="54"/>
      <c r="J312" s="54">
        <f>SUM(J294:J311)</f>
        <v>1092250</v>
      </c>
      <c r="K312" s="54">
        <f t="shared" ref="K312:AC312" si="49">SUM(K294:K311)</f>
        <v>20000</v>
      </c>
      <c r="L312" s="54">
        <f t="shared" si="49"/>
        <v>0</v>
      </c>
      <c r="M312" s="54">
        <f t="shared" si="49"/>
        <v>0</v>
      </c>
      <c r="N312" s="54">
        <f t="shared" si="49"/>
        <v>0</v>
      </c>
      <c r="O312" s="54">
        <f t="shared" si="49"/>
        <v>0</v>
      </c>
      <c r="P312" s="54">
        <f t="shared" si="49"/>
        <v>177981.77999999997</v>
      </c>
      <c r="Q312" s="54">
        <f t="shared" si="49"/>
        <v>0</v>
      </c>
      <c r="R312" s="54">
        <f t="shared" si="49"/>
        <v>914268.22</v>
      </c>
      <c r="S312" s="54">
        <f t="shared" si="49"/>
        <v>198268.22</v>
      </c>
      <c r="T312" s="54">
        <f t="shared" si="49"/>
        <v>10000</v>
      </c>
      <c r="U312" s="54">
        <f t="shared" si="49"/>
        <v>716000</v>
      </c>
      <c r="V312" s="54">
        <f t="shared" si="49"/>
        <v>10000</v>
      </c>
      <c r="W312" s="54">
        <f t="shared" si="49"/>
        <v>1092250</v>
      </c>
      <c r="X312" s="54" t="e">
        <f t="shared" si="49"/>
        <v>#REF!</v>
      </c>
      <c r="Y312" s="54">
        <f t="shared" si="49"/>
        <v>0</v>
      </c>
      <c r="Z312" s="54">
        <f t="shared" si="49"/>
        <v>20000</v>
      </c>
      <c r="AA312" s="54">
        <f t="shared" si="49"/>
        <v>0</v>
      </c>
      <c r="AB312" s="54">
        <f t="shared" si="49"/>
        <v>1092250</v>
      </c>
      <c r="AC312" s="54">
        <f t="shared" si="49"/>
        <v>20000</v>
      </c>
      <c r="AD312" s="261"/>
      <c r="AE312" s="261"/>
      <c r="AF312" s="49"/>
    </row>
    <row r="313" spans="1:32" ht="15" customHeight="1" x14ac:dyDescent="0.35">
      <c r="A313" s="264"/>
      <c r="B313" s="268" t="s">
        <v>386</v>
      </c>
      <c r="C313" s="268" t="s">
        <v>387</v>
      </c>
      <c r="D313" s="77" t="s">
        <v>17</v>
      </c>
      <c r="E313" s="50" t="s">
        <v>104</v>
      </c>
      <c r="F313" s="71" t="s">
        <v>28</v>
      </c>
      <c r="G313" s="27" t="s">
        <v>29</v>
      </c>
      <c r="H313" s="78" t="s">
        <v>388</v>
      </c>
      <c r="I313" s="45">
        <v>7000</v>
      </c>
      <c r="J313" s="45">
        <v>100000</v>
      </c>
      <c r="K313" s="45">
        <v>0</v>
      </c>
      <c r="L313" s="45">
        <v>32882.51</v>
      </c>
      <c r="M313" s="45"/>
      <c r="N313" s="45">
        <v>24238.142188643644</v>
      </c>
      <c r="O313" s="45">
        <v>0</v>
      </c>
      <c r="P313" s="45">
        <v>29328.768679991634</v>
      </c>
      <c r="Q313" s="45">
        <v>0</v>
      </c>
      <c r="R313" s="45">
        <v>13550.579131364721</v>
      </c>
      <c r="S313" s="58">
        <v>13550.58</v>
      </c>
      <c r="T313" s="58"/>
      <c r="U313" s="58">
        <v>0</v>
      </c>
      <c r="V313" s="59"/>
      <c r="W313" s="31">
        <f t="shared" si="43"/>
        <v>100000.00086863528</v>
      </c>
      <c r="X313" s="60" t="e">
        <f>#REF!-W313</f>
        <v>#REF!</v>
      </c>
      <c r="Y313" s="60"/>
      <c r="Z313" s="33">
        <f t="shared" si="44"/>
        <v>0</v>
      </c>
      <c r="AA313" s="33">
        <f t="shared" si="45"/>
        <v>-8.6863528122194111E-4</v>
      </c>
      <c r="AB313" s="260">
        <f>SUM(W313:W319)</f>
        <v>231250.00119536254</v>
      </c>
      <c r="AC313" s="260">
        <f>SUM(Z313:Z319)</f>
        <v>45400.578951273026</v>
      </c>
      <c r="AD313" s="261"/>
      <c r="AE313" s="261"/>
      <c r="AF313" s="34" t="s">
        <v>389</v>
      </c>
    </row>
    <row r="314" spans="1:32" ht="15" customHeight="1" x14ac:dyDescent="0.35">
      <c r="A314" s="264"/>
      <c r="B314" s="268"/>
      <c r="C314" s="268"/>
      <c r="D314" s="77" t="s">
        <v>31</v>
      </c>
      <c r="E314" s="50" t="s">
        <v>104</v>
      </c>
      <c r="F314" s="71" t="s">
        <v>28</v>
      </c>
      <c r="G314" s="27" t="s">
        <v>29</v>
      </c>
      <c r="H314" s="27">
        <v>14.29</v>
      </c>
      <c r="I314" s="45">
        <f>20000/14.29</f>
        <v>1399.5801259622115</v>
      </c>
      <c r="J314" s="45">
        <v>0</v>
      </c>
      <c r="K314" s="45">
        <v>20000</v>
      </c>
      <c r="L314" s="45"/>
      <c r="M314" s="45"/>
      <c r="N314" s="45"/>
      <c r="O314" s="45">
        <v>2331.1660777381821</v>
      </c>
      <c r="P314" s="45">
        <v>0</v>
      </c>
      <c r="Q314" s="45">
        <v>316.19147571666701</v>
      </c>
      <c r="R314" s="45">
        <v>0</v>
      </c>
      <c r="S314" s="58">
        <v>0</v>
      </c>
      <c r="T314" s="58">
        <v>15190.46</v>
      </c>
      <c r="U314" s="58">
        <v>0</v>
      </c>
      <c r="V314" s="59"/>
      <c r="W314" s="31">
        <f t="shared" si="43"/>
        <v>0</v>
      </c>
      <c r="X314" s="60" t="e">
        <f>#REF!-W314</f>
        <v>#REF!</v>
      </c>
      <c r="Y314" s="60"/>
      <c r="Z314" s="33">
        <f t="shared" si="44"/>
        <v>17837.81755345485</v>
      </c>
      <c r="AA314" s="33">
        <f t="shared" si="45"/>
        <v>0</v>
      </c>
      <c r="AB314" s="261"/>
      <c r="AC314" s="261"/>
      <c r="AD314" s="261"/>
      <c r="AE314" s="261"/>
      <c r="AF314" s="34" t="s">
        <v>390</v>
      </c>
    </row>
    <row r="315" spans="1:32" ht="15" customHeight="1" x14ac:dyDescent="0.35">
      <c r="A315" s="264"/>
      <c r="B315" s="268"/>
      <c r="C315" s="268"/>
      <c r="D315" s="77" t="s">
        <v>17</v>
      </c>
      <c r="E315" s="50" t="s">
        <v>104</v>
      </c>
      <c r="F315" s="71" t="s">
        <v>36</v>
      </c>
      <c r="G315" s="27" t="s">
        <v>55</v>
      </c>
      <c r="H315" s="27">
        <v>5</v>
      </c>
      <c r="I315" s="45">
        <v>3750</v>
      </c>
      <c r="J315" s="45">
        <v>20000</v>
      </c>
      <c r="K315" s="45">
        <v>0</v>
      </c>
      <c r="L315" s="45">
        <v>1881.07</v>
      </c>
      <c r="M315" s="45"/>
      <c r="N315" s="45">
        <v>1055.071902545455</v>
      </c>
      <c r="O315" s="45">
        <v>0</v>
      </c>
      <c r="P315" s="45">
        <v>0</v>
      </c>
      <c r="Q315" s="45">
        <v>0</v>
      </c>
      <c r="R315" s="45">
        <v>17063.858097454544</v>
      </c>
      <c r="S315" s="58">
        <v>17063.86</v>
      </c>
      <c r="T315" s="58"/>
      <c r="U315" s="58">
        <v>0</v>
      </c>
      <c r="V315" s="59"/>
      <c r="W315" s="31">
        <f t="shared" si="43"/>
        <v>20000.001902545457</v>
      </c>
      <c r="X315" s="60" t="e">
        <f>#REF!-W315</f>
        <v>#REF!</v>
      </c>
      <c r="Y315" s="60"/>
      <c r="Z315" s="33">
        <f t="shared" si="44"/>
        <v>0</v>
      </c>
      <c r="AA315" s="33">
        <f t="shared" si="45"/>
        <v>-1.9025454566872213E-3</v>
      </c>
      <c r="AB315" s="261"/>
      <c r="AC315" s="261"/>
      <c r="AD315" s="261"/>
      <c r="AE315" s="261"/>
      <c r="AF315" s="34" t="s">
        <v>391</v>
      </c>
    </row>
    <row r="316" spans="1:32" ht="15" customHeight="1" x14ac:dyDescent="0.35">
      <c r="A316" s="264"/>
      <c r="B316" s="268"/>
      <c r="C316" s="268"/>
      <c r="D316" s="77" t="s">
        <v>17</v>
      </c>
      <c r="E316" s="50" t="s">
        <v>104</v>
      </c>
      <c r="F316" s="71" t="s">
        <v>28</v>
      </c>
      <c r="G316" s="27" t="s">
        <v>29</v>
      </c>
      <c r="H316" s="78" t="s">
        <v>392</v>
      </c>
      <c r="I316" s="45">
        <f>100000/12</f>
        <v>8333.3333333333339</v>
      </c>
      <c r="J316" s="45">
        <v>100000</v>
      </c>
      <c r="K316" s="45">
        <v>0</v>
      </c>
      <c r="L316" s="45">
        <v>4384.68</v>
      </c>
      <c r="M316" s="45"/>
      <c r="N316" s="45">
        <v>312.18799603636398</v>
      </c>
      <c r="O316" s="45">
        <v>0</v>
      </c>
      <c r="P316" s="45">
        <v>-1.4743999999999988E-3</v>
      </c>
      <c r="Q316" s="45">
        <v>0</v>
      </c>
      <c r="R316" s="45">
        <v>95303.133478363641</v>
      </c>
      <c r="S316" s="58">
        <v>95303.13</v>
      </c>
      <c r="T316" s="58"/>
      <c r="U316" s="58">
        <v>0</v>
      </c>
      <c r="V316" s="59"/>
      <c r="W316" s="31">
        <f t="shared" si="43"/>
        <v>99999.996521636363</v>
      </c>
      <c r="X316" s="60" t="e">
        <f>#REF!-W316</f>
        <v>#REF!</v>
      </c>
      <c r="Y316" s="60"/>
      <c r="Z316" s="33">
        <f t="shared" si="44"/>
        <v>0</v>
      </c>
      <c r="AA316" s="33">
        <f t="shared" si="45"/>
        <v>3.4783636365318671E-3</v>
      </c>
      <c r="AB316" s="261"/>
      <c r="AC316" s="261"/>
      <c r="AD316" s="261"/>
      <c r="AE316" s="261"/>
      <c r="AF316" s="34" t="s">
        <v>393</v>
      </c>
    </row>
    <row r="317" spans="1:32" ht="15" customHeight="1" x14ac:dyDescent="0.35">
      <c r="A317" s="264"/>
      <c r="B317" s="268"/>
      <c r="C317" s="268"/>
      <c r="D317" s="77" t="s">
        <v>31</v>
      </c>
      <c r="E317" s="50" t="s">
        <v>104</v>
      </c>
      <c r="F317" s="71" t="s">
        <v>28</v>
      </c>
      <c r="G317" s="27" t="s">
        <v>29</v>
      </c>
      <c r="H317" s="27">
        <v>12</v>
      </c>
      <c r="I317" s="45">
        <f>20000/12</f>
        <v>1666.6666666666667</v>
      </c>
      <c r="J317" s="45">
        <v>0</v>
      </c>
      <c r="K317" s="45">
        <v>20000</v>
      </c>
      <c r="L317" s="45"/>
      <c r="M317" s="45"/>
      <c r="N317" s="45"/>
      <c r="O317" s="45">
        <v>30.197295418181813</v>
      </c>
      <c r="P317" s="45">
        <v>0</v>
      </c>
      <c r="Q317" s="45">
        <v>-5.8976000000000002E-3</v>
      </c>
      <c r="R317" s="45">
        <v>0</v>
      </c>
      <c r="S317" s="58">
        <v>0</v>
      </c>
      <c r="T317" s="58">
        <v>19532.57</v>
      </c>
      <c r="U317" s="58">
        <v>0</v>
      </c>
      <c r="V317" s="59"/>
      <c r="W317" s="31">
        <f t="shared" si="43"/>
        <v>0</v>
      </c>
      <c r="X317" s="60" t="e">
        <f>#REF!-W317</f>
        <v>#REF!</v>
      </c>
      <c r="Y317" s="60"/>
      <c r="Z317" s="33">
        <f t="shared" si="44"/>
        <v>19562.76139781818</v>
      </c>
      <c r="AA317" s="33">
        <f t="shared" si="45"/>
        <v>0</v>
      </c>
      <c r="AB317" s="261"/>
      <c r="AC317" s="261"/>
      <c r="AD317" s="261"/>
      <c r="AE317" s="261"/>
      <c r="AF317" s="34" t="s">
        <v>394</v>
      </c>
    </row>
    <row r="318" spans="1:32" ht="15" customHeight="1" x14ac:dyDescent="0.35">
      <c r="A318" s="264"/>
      <c r="B318" s="268"/>
      <c r="C318" s="268"/>
      <c r="D318" s="77" t="s">
        <v>33</v>
      </c>
      <c r="E318" s="50" t="s">
        <v>34</v>
      </c>
      <c r="F318" s="71" t="s">
        <v>28</v>
      </c>
      <c r="G318" s="27" t="s">
        <v>29</v>
      </c>
      <c r="H318" s="27">
        <v>3</v>
      </c>
      <c r="I318" s="45">
        <f>8000/3</f>
        <v>2666.6666666666665</v>
      </c>
      <c r="J318" s="45">
        <v>0</v>
      </c>
      <c r="K318" s="45">
        <v>8000</v>
      </c>
      <c r="L318" s="45"/>
      <c r="M318" s="45"/>
      <c r="N318" s="45"/>
      <c r="O318" s="45">
        <v>0</v>
      </c>
      <c r="P318" s="45">
        <v>0</v>
      </c>
      <c r="Q318" s="45">
        <v>0</v>
      </c>
      <c r="R318" s="45">
        <v>0</v>
      </c>
      <c r="S318" s="58">
        <v>0</v>
      </c>
      <c r="T318" s="58">
        <v>8000</v>
      </c>
      <c r="U318" s="58">
        <v>0</v>
      </c>
      <c r="V318" s="59"/>
      <c r="W318" s="31">
        <f t="shared" si="43"/>
        <v>0</v>
      </c>
      <c r="X318" s="60" t="e">
        <f>#REF!-W318</f>
        <v>#REF!</v>
      </c>
      <c r="Y318" s="60"/>
      <c r="Z318" s="33">
        <f t="shared" si="44"/>
        <v>8000</v>
      </c>
      <c r="AA318" s="33">
        <f t="shared" si="45"/>
        <v>0</v>
      </c>
      <c r="AB318" s="261"/>
      <c r="AC318" s="261"/>
      <c r="AD318" s="261"/>
      <c r="AE318" s="261"/>
      <c r="AF318" s="34" t="s">
        <v>395</v>
      </c>
    </row>
    <row r="319" spans="1:32" ht="15" customHeight="1" x14ac:dyDescent="0.35">
      <c r="A319" s="264"/>
      <c r="B319" s="268"/>
      <c r="C319" s="268"/>
      <c r="D319" s="77" t="s">
        <v>17</v>
      </c>
      <c r="E319" s="50" t="s">
        <v>104</v>
      </c>
      <c r="F319" s="71" t="s">
        <v>36</v>
      </c>
      <c r="G319" s="27" t="s">
        <v>55</v>
      </c>
      <c r="H319" s="27">
        <v>3</v>
      </c>
      <c r="I319" s="45">
        <v>3750</v>
      </c>
      <c r="J319" s="45">
        <v>11250</v>
      </c>
      <c r="K319" s="45">
        <v>0</v>
      </c>
      <c r="L319" s="45">
        <v>1881.07</v>
      </c>
      <c r="M319" s="45"/>
      <c r="N319" s="45">
        <v>1055.071902545455</v>
      </c>
      <c r="O319" s="45">
        <v>0</v>
      </c>
      <c r="P319" s="45">
        <v>0</v>
      </c>
      <c r="Q319" s="45">
        <v>0</v>
      </c>
      <c r="R319" s="45">
        <v>8313.8580974545439</v>
      </c>
      <c r="S319" s="58">
        <v>8313.86</v>
      </c>
      <c r="T319" s="58"/>
      <c r="U319" s="58">
        <v>0</v>
      </c>
      <c r="V319" s="59"/>
      <c r="W319" s="31">
        <f t="shared" si="43"/>
        <v>11250.001902545457</v>
      </c>
      <c r="X319" s="60" t="e">
        <f>#REF!-W319</f>
        <v>#REF!</v>
      </c>
      <c r="Y319" s="60"/>
      <c r="Z319" s="33">
        <f t="shared" si="44"/>
        <v>0</v>
      </c>
      <c r="AA319" s="33">
        <f t="shared" si="45"/>
        <v>-1.9025454566872213E-3</v>
      </c>
      <c r="AB319" s="262"/>
      <c r="AC319" s="262"/>
      <c r="AD319" s="261"/>
      <c r="AE319" s="261"/>
      <c r="AF319" s="34" t="s">
        <v>396</v>
      </c>
    </row>
    <row r="320" spans="1:32" ht="15" customHeight="1" x14ac:dyDescent="0.35">
      <c r="A320" s="264"/>
      <c r="B320" s="50"/>
      <c r="C320" s="53"/>
      <c r="D320" s="79"/>
      <c r="E320" s="53"/>
      <c r="F320" s="74"/>
      <c r="G320" s="41"/>
      <c r="H320" s="41"/>
      <c r="I320" s="54"/>
      <c r="J320" s="54">
        <f>SUM(J313:J319)</f>
        <v>231250</v>
      </c>
      <c r="K320" s="54">
        <f t="shared" ref="K320:AC320" si="50">SUM(K313:K319)</f>
        <v>48000</v>
      </c>
      <c r="L320" s="54">
        <f t="shared" si="50"/>
        <v>41029.33</v>
      </c>
      <c r="M320" s="54">
        <f t="shared" si="50"/>
        <v>0</v>
      </c>
      <c r="N320" s="54">
        <f t="shared" si="50"/>
        <v>26660.473989770919</v>
      </c>
      <c r="O320" s="54">
        <f t="shared" si="50"/>
        <v>2361.3633731563641</v>
      </c>
      <c r="P320" s="54">
        <f t="shared" si="50"/>
        <v>29328.767205591634</v>
      </c>
      <c r="Q320" s="54">
        <f t="shared" si="50"/>
        <v>316.18557811666699</v>
      </c>
      <c r="R320" s="54">
        <f t="shared" si="50"/>
        <v>134231.42880463746</v>
      </c>
      <c r="S320" s="54">
        <f t="shared" si="50"/>
        <v>134231.43</v>
      </c>
      <c r="T320" s="54">
        <f t="shared" si="50"/>
        <v>42723.03</v>
      </c>
      <c r="U320" s="54">
        <f t="shared" si="50"/>
        <v>0</v>
      </c>
      <c r="V320" s="54">
        <f t="shared" si="50"/>
        <v>0</v>
      </c>
      <c r="W320" s="54">
        <f t="shared" si="50"/>
        <v>231250.00119536254</v>
      </c>
      <c r="X320" s="54" t="e">
        <f t="shared" si="50"/>
        <v>#REF!</v>
      </c>
      <c r="Y320" s="54">
        <f t="shared" si="50"/>
        <v>0</v>
      </c>
      <c r="Z320" s="54">
        <f t="shared" si="50"/>
        <v>45400.578951273026</v>
      </c>
      <c r="AA320" s="54">
        <f t="shared" si="50"/>
        <v>-1.1953625580645166E-3</v>
      </c>
      <c r="AB320" s="54">
        <f t="shared" si="50"/>
        <v>231250.00119536254</v>
      </c>
      <c r="AC320" s="54">
        <f t="shared" si="50"/>
        <v>45400.578951273026</v>
      </c>
      <c r="AD320" s="261"/>
      <c r="AE320" s="261"/>
      <c r="AF320" s="49"/>
    </row>
    <row r="321" spans="1:32" ht="15" customHeight="1" x14ac:dyDescent="0.35">
      <c r="A321" s="264"/>
      <c r="B321" s="50"/>
      <c r="C321" s="50" t="s">
        <v>275</v>
      </c>
      <c r="D321" s="77" t="s">
        <v>17</v>
      </c>
      <c r="E321" s="50"/>
      <c r="F321" s="71" t="s">
        <v>275</v>
      </c>
      <c r="G321" s="27" t="s">
        <v>86</v>
      </c>
      <c r="H321" s="27">
        <v>1</v>
      </c>
      <c r="I321" s="45">
        <v>29170</v>
      </c>
      <c r="J321" s="45">
        <v>29170</v>
      </c>
      <c r="K321" s="45">
        <v>0</v>
      </c>
      <c r="L321" s="45"/>
      <c r="M321" s="45"/>
      <c r="N321" s="45"/>
      <c r="O321" s="45"/>
      <c r="P321" s="45"/>
      <c r="Q321" s="45"/>
      <c r="R321" s="45">
        <v>29170</v>
      </c>
      <c r="S321" s="58">
        <v>0</v>
      </c>
      <c r="T321" s="58"/>
      <c r="U321" s="58">
        <v>0</v>
      </c>
      <c r="V321" s="59"/>
      <c r="W321" s="31">
        <f t="shared" si="43"/>
        <v>0</v>
      </c>
      <c r="X321" s="60" t="e">
        <f>#REF!-W321</f>
        <v>#REF!</v>
      </c>
      <c r="Y321" s="60"/>
      <c r="Z321" s="33">
        <f t="shared" si="44"/>
        <v>0</v>
      </c>
      <c r="AA321" s="33">
        <f t="shared" si="45"/>
        <v>29170</v>
      </c>
      <c r="AB321" s="67"/>
      <c r="AC321" s="67"/>
      <c r="AD321" s="262"/>
      <c r="AE321" s="262"/>
      <c r="AF321" s="34" t="s">
        <v>397</v>
      </c>
    </row>
    <row r="322" spans="1:32" ht="15" customHeight="1" x14ac:dyDescent="0.35">
      <c r="A322" s="257" t="s">
        <v>277</v>
      </c>
      <c r="B322" s="257"/>
      <c r="C322" s="257"/>
      <c r="D322" s="257"/>
      <c r="E322" s="257"/>
      <c r="F322" s="257"/>
      <c r="G322" s="257"/>
      <c r="H322" s="257"/>
      <c r="I322" s="257"/>
      <c r="J322" s="69">
        <f t="shared" ref="J322:AC322" si="51">J237+J247+J262+J276+J288+J293+J312+J320+J321</f>
        <v>3221530</v>
      </c>
      <c r="K322" s="69">
        <f t="shared" si="51"/>
        <v>251300</v>
      </c>
      <c r="L322" s="69">
        <f t="shared" si="51"/>
        <v>226403.62</v>
      </c>
      <c r="M322" s="69">
        <f t="shared" si="51"/>
        <v>0</v>
      </c>
      <c r="N322" s="69">
        <f t="shared" si="51"/>
        <v>140748.53398977092</v>
      </c>
      <c r="O322" s="69">
        <f t="shared" si="51"/>
        <v>2361.3633731563641</v>
      </c>
      <c r="P322" s="69">
        <f t="shared" si="51"/>
        <v>442263.04720559157</v>
      </c>
      <c r="Q322" s="69">
        <f t="shared" si="51"/>
        <v>316.18557811666699</v>
      </c>
      <c r="R322" s="69">
        <f t="shared" si="51"/>
        <v>2412114.7988046375</v>
      </c>
      <c r="S322" s="69">
        <f t="shared" si="51"/>
        <v>947080.24</v>
      </c>
      <c r="T322" s="69">
        <f t="shared" si="51"/>
        <v>60873.03</v>
      </c>
      <c r="U322" s="69">
        <f t="shared" si="51"/>
        <v>1435864.56</v>
      </c>
      <c r="V322" s="69">
        <f t="shared" si="51"/>
        <v>18150</v>
      </c>
      <c r="W322" s="69">
        <f t="shared" si="51"/>
        <v>3192360.0011953628</v>
      </c>
      <c r="X322" s="69" t="e">
        <f t="shared" si="51"/>
        <v>#REF!</v>
      </c>
      <c r="Y322" s="69" t="e">
        <f t="shared" si="51"/>
        <v>#REF!</v>
      </c>
      <c r="Z322" s="69">
        <f t="shared" si="51"/>
        <v>81700.578951273026</v>
      </c>
      <c r="AA322" s="69">
        <f t="shared" si="51"/>
        <v>29169.998804637442</v>
      </c>
      <c r="AB322" s="69">
        <f t="shared" si="51"/>
        <v>3192360.0011953628</v>
      </c>
      <c r="AC322" s="69">
        <f t="shared" si="51"/>
        <v>81700.578951273026</v>
      </c>
      <c r="AD322" s="69">
        <f>AD217+AD247+AD262+AD276+AD288+AD293+AD312+AD320+AD321</f>
        <v>3192360.0011953628</v>
      </c>
      <c r="AE322" s="69">
        <f>AE217+AE247+AE262+AE276+AE288+AE293+AE312+AE320+AE321</f>
        <v>81700.578951273026</v>
      </c>
      <c r="AF322" s="69">
        <f>SUM(AF217:AF321)</f>
        <v>0</v>
      </c>
    </row>
    <row r="323" spans="1:32" ht="15" customHeight="1" x14ac:dyDescent="0.35">
      <c r="A323" s="264" t="s">
        <v>398</v>
      </c>
      <c r="B323" s="268" t="s">
        <v>399</v>
      </c>
      <c r="C323" s="268" t="s">
        <v>400</v>
      </c>
      <c r="D323" s="50" t="s">
        <v>17</v>
      </c>
      <c r="E323" s="50" t="s">
        <v>34</v>
      </c>
      <c r="F323" s="71" t="s">
        <v>28</v>
      </c>
      <c r="G323" s="27" t="s">
        <v>29</v>
      </c>
      <c r="H323" s="27">
        <v>54</v>
      </c>
      <c r="I323" s="45">
        <v>16000</v>
      </c>
      <c r="J323" s="45">
        <v>82734</v>
      </c>
      <c r="K323" s="45">
        <v>0</v>
      </c>
      <c r="L323" s="45">
        <v>12723.91</v>
      </c>
      <c r="M323" s="45"/>
      <c r="N323" s="45">
        <v>14077.54</v>
      </c>
      <c r="O323" s="45"/>
      <c r="P323" s="45">
        <v>14077.54</v>
      </c>
      <c r="Q323" s="45"/>
      <c r="R323" s="45">
        <v>41855.009999999995</v>
      </c>
      <c r="S323" s="58">
        <v>14000</v>
      </c>
      <c r="T323" s="58">
        <v>0</v>
      </c>
      <c r="U323" s="58">
        <v>16000</v>
      </c>
      <c r="V323" s="59"/>
      <c r="W323" s="31">
        <f t="shared" si="43"/>
        <v>70878.990000000005</v>
      </c>
      <c r="X323" s="60" t="e">
        <f>#REF!-W323</f>
        <v>#REF!</v>
      </c>
      <c r="Y323" s="60"/>
      <c r="Z323" s="33">
        <f t="shared" si="44"/>
        <v>0</v>
      </c>
      <c r="AA323" s="33">
        <f t="shared" si="45"/>
        <v>11855.009999999995</v>
      </c>
      <c r="AB323" s="260">
        <f>SUM(W323:W348)</f>
        <v>616327</v>
      </c>
      <c r="AC323" s="260">
        <f>SUM(Z323:Z348)</f>
        <v>46855.479999999996</v>
      </c>
      <c r="AD323" s="260">
        <f>AB349+AB359+AB364+AB377+AB378</f>
        <v>1894227</v>
      </c>
      <c r="AE323" s="260">
        <f>AC349+AC359+AC364+AC377+AC378</f>
        <v>109379.78</v>
      </c>
      <c r="AF323" s="34" t="s">
        <v>401</v>
      </c>
    </row>
    <row r="324" spans="1:32" ht="15" customHeight="1" x14ac:dyDescent="0.35">
      <c r="A324" s="264"/>
      <c r="B324" s="268"/>
      <c r="C324" s="268"/>
      <c r="D324" s="50" t="s">
        <v>17</v>
      </c>
      <c r="E324" s="50" t="s">
        <v>34</v>
      </c>
      <c r="F324" s="71" t="s">
        <v>28</v>
      </c>
      <c r="G324" s="27" t="s">
        <v>29</v>
      </c>
      <c r="H324" s="27">
        <v>48</v>
      </c>
      <c r="I324" s="45">
        <v>16000</v>
      </c>
      <c r="J324" s="45">
        <v>73493</v>
      </c>
      <c r="K324" s="45">
        <v>0</v>
      </c>
      <c r="L324" s="45"/>
      <c r="M324" s="45"/>
      <c r="N324" s="45"/>
      <c r="O324" s="45"/>
      <c r="P324" s="45">
        <v>0</v>
      </c>
      <c r="Q324" s="45"/>
      <c r="R324" s="45">
        <v>73493</v>
      </c>
      <c r="S324" s="58">
        <v>14000</v>
      </c>
      <c r="T324" s="58"/>
      <c r="U324" s="58">
        <v>16000</v>
      </c>
      <c r="V324" s="59"/>
      <c r="W324" s="31">
        <f t="shared" si="43"/>
        <v>30000</v>
      </c>
      <c r="X324" s="60" t="e">
        <f>#REF!-W324</f>
        <v>#REF!</v>
      </c>
      <c r="Y324" s="60"/>
      <c r="Z324" s="33">
        <f t="shared" si="44"/>
        <v>0</v>
      </c>
      <c r="AA324" s="33">
        <f t="shared" si="45"/>
        <v>43493</v>
      </c>
      <c r="AB324" s="261"/>
      <c r="AC324" s="261"/>
      <c r="AD324" s="261"/>
      <c r="AE324" s="261"/>
      <c r="AF324" s="34" t="s">
        <v>402</v>
      </c>
    </row>
    <row r="325" spans="1:32" ht="15" customHeight="1" x14ac:dyDescent="0.35">
      <c r="A325" s="264"/>
      <c r="B325" s="268"/>
      <c r="C325" s="268"/>
      <c r="D325" s="50" t="s">
        <v>33</v>
      </c>
      <c r="E325" s="50" t="s">
        <v>34</v>
      </c>
      <c r="F325" s="71" t="s">
        <v>28</v>
      </c>
      <c r="G325" s="27" t="s">
        <v>29</v>
      </c>
      <c r="H325" s="27">
        <v>1</v>
      </c>
      <c r="I325" s="45">
        <v>2000</v>
      </c>
      <c r="J325" s="45">
        <v>0</v>
      </c>
      <c r="K325" s="45">
        <v>2000</v>
      </c>
      <c r="L325" s="45"/>
      <c r="M325" s="45"/>
      <c r="N325" s="45"/>
      <c r="O325" s="45"/>
      <c r="P325" s="45">
        <v>0</v>
      </c>
      <c r="Q325" s="45"/>
      <c r="R325" s="45">
        <v>0</v>
      </c>
      <c r="S325" s="58"/>
      <c r="T325" s="58">
        <v>2000</v>
      </c>
      <c r="U325" s="58"/>
      <c r="V325" s="59"/>
      <c r="W325" s="31">
        <f t="shared" si="43"/>
        <v>0</v>
      </c>
      <c r="X325" s="60" t="e">
        <f>#REF!-W325</f>
        <v>#REF!</v>
      </c>
      <c r="Y325" s="60"/>
      <c r="Z325" s="33">
        <f t="shared" si="44"/>
        <v>2000</v>
      </c>
      <c r="AA325" s="33">
        <f t="shared" si="45"/>
        <v>0</v>
      </c>
      <c r="AB325" s="261"/>
      <c r="AC325" s="261"/>
      <c r="AD325" s="261"/>
      <c r="AE325" s="261"/>
      <c r="AF325" s="34" t="s">
        <v>403</v>
      </c>
    </row>
    <row r="326" spans="1:32" ht="15" customHeight="1" x14ac:dyDescent="0.35">
      <c r="A326" s="264"/>
      <c r="B326" s="268"/>
      <c r="C326" s="268"/>
      <c r="D326" s="50" t="s">
        <v>17</v>
      </c>
      <c r="E326" s="50" t="s">
        <v>27</v>
      </c>
      <c r="F326" s="71" t="s">
        <v>28</v>
      </c>
      <c r="G326" s="27" t="s">
        <v>29</v>
      </c>
      <c r="H326" s="27">
        <v>8</v>
      </c>
      <c r="I326" s="45">
        <v>3000</v>
      </c>
      <c r="J326" s="45">
        <v>60000</v>
      </c>
      <c r="K326" s="45">
        <v>0</v>
      </c>
      <c r="L326" s="45"/>
      <c r="M326" s="45"/>
      <c r="N326" s="45"/>
      <c r="O326" s="45">
        <v>6855.48</v>
      </c>
      <c r="P326" s="45">
        <v>0</v>
      </c>
      <c r="Q326" s="45"/>
      <c r="R326" s="45">
        <v>60000</v>
      </c>
      <c r="S326" s="222">
        <v>30000</v>
      </c>
      <c r="T326" s="58">
        <v>0</v>
      </c>
      <c r="U326" s="58">
        <v>30000</v>
      </c>
      <c r="V326" s="59"/>
      <c r="W326" s="31">
        <f t="shared" si="43"/>
        <v>60000</v>
      </c>
      <c r="X326" s="60" t="e">
        <f>#REF!-W326</f>
        <v>#REF!</v>
      </c>
      <c r="Y326" s="60"/>
      <c r="Z326" s="33">
        <f t="shared" si="44"/>
        <v>6855.48</v>
      </c>
      <c r="AA326" s="33">
        <f t="shared" si="45"/>
        <v>0</v>
      </c>
      <c r="AB326" s="261"/>
      <c r="AC326" s="261"/>
      <c r="AD326" s="261"/>
      <c r="AE326" s="261"/>
      <c r="AF326" s="34" t="s">
        <v>404</v>
      </c>
    </row>
    <row r="327" spans="1:32" ht="15" customHeight="1" x14ac:dyDescent="0.35">
      <c r="A327" s="264"/>
      <c r="B327" s="268"/>
      <c r="C327" s="268"/>
      <c r="D327" s="50" t="s">
        <v>31</v>
      </c>
      <c r="E327" s="50" t="s">
        <v>27</v>
      </c>
      <c r="F327" s="71" t="s">
        <v>28</v>
      </c>
      <c r="G327" s="27" t="s">
        <v>29</v>
      </c>
      <c r="H327" s="27">
        <v>8</v>
      </c>
      <c r="I327" s="45">
        <f>12000/8</f>
        <v>1500</v>
      </c>
      <c r="J327" s="45">
        <v>0</v>
      </c>
      <c r="K327" s="45">
        <v>12000</v>
      </c>
      <c r="L327" s="45"/>
      <c r="M327" s="45"/>
      <c r="N327" s="45"/>
      <c r="O327" s="45"/>
      <c r="P327" s="45">
        <v>0</v>
      </c>
      <c r="Q327" s="45"/>
      <c r="R327" s="45">
        <v>0</v>
      </c>
      <c r="S327" s="222"/>
      <c r="T327" s="58"/>
      <c r="U327" s="58"/>
      <c r="V327" s="59"/>
      <c r="W327" s="31">
        <f t="shared" si="43"/>
        <v>0</v>
      </c>
      <c r="X327" s="60" t="e">
        <f>#REF!-W327</f>
        <v>#REF!</v>
      </c>
      <c r="Y327" s="60"/>
      <c r="Z327" s="33">
        <f t="shared" si="44"/>
        <v>0</v>
      </c>
      <c r="AA327" s="33">
        <f t="shared" si="45"/>
        <v>0</v>
      </c>
      <c r="AB327" s="261"/>
      <c r="AC327" s="261"/>
      <c r="AD327" s="261"/>
      <c r="AE327" s="261"/>
      <c r="AF327" s="34" t="s">
        <v>405</v>
      </c>
    </row>
    <row r="328" spans="1:32" ht="15" customHeight="1" x14ac:dyDescent="0.35">
      <c r="A328" s="264"/>
      <c r="B328" s="268"/>
      <c r="C328" s="268"/>
      <c r="D328" s="50" t="s">
        <v>33</v>
      </c>
      <c r="E328" s="50" t="s">
        <v>34</v>
      </c>
      <c r="F328" s="71" t="s">
        <v>28</v>
      </c>
      <c r="G328" s="27" t="s">
        <v>29</v>
      </c>
      <c r="H328" s="27">
        <v>0.5</v>
      </c>
      <c r="I328" s="45">
        <v>1400</v>
      </c>
      <c r="J328" s="45">
        <v>0</v>
      </c>
      <c r="K328" s="45">
        <v>1400</v>
      </c>
      <c r="L328" s="45"/>
      <c r="M328" s="45"/>
      <c r="N328" s="45"/>
      <c r="O328" s="45"/>
      <c r="P328" s="45">
        <v>0</v>
      </c>
      <c r="Q328" s="45"/>
      <c r="R328" s="45">
        <v>0</v>
      </c>
      <c r="S328" s="58"/>
      <c r="T328" s="58">
        <v>1400</v>
      </c>
      <c r="U328" s="58"/>
      <c r="V328" s="59"/>
      <c r="W328" s="31">
        <f t="shared" si="43"/>
        <v>0</v>
      </c>
      <c r="X328" s="60" t="e">
        <f>#REF!-W328</f>
        <v>#REF!</v>
      </c>
      <c r="Y328" s="60"/>
      <c r="Z328" s="33">
        <f t="shared" si="44"/>
        <v>1400</v>
      </c>
      <c r="AA328" s="33">
        <f t="shared" si="45"/>
        <v>0</v>
      </c>
      <c r="AB328" s="261"/>
      <c r="AC328" s="261"/>
      <c r="AD328" s="261"/>
      <c r="AE328" s="261"/>
      <c r="AF328" s="34" t="s">
        <v>406</v>
      </c>
    </row>
    <row r="329" spans="1:32" ht="15" customHeight="1" x14ac:dyDescent="0.35">
      <c r="A329" s="264"/>
      <c r="B329" s="268"/>
      <c r="C329" s="268"/>
      <c r="D329" s="50" t="s">
        <v>17</v>
      </c>
      <c r="E329" s="50" t="s">
        <v>27</v>
      </c>
      <c r="F329" s="71" t="s">
        <v>36</v>
      </c>
      <c r="G329" s="27" t="s">
        <v>55</v>
      </c>
      <c r="H329" s="27">
        <v>6</v>
      </c>
      <c r="I329" s="45">
        <v>3500</v>
      </c>
      <c r="J329" s="45">
        <v>21000</v>
      </c>
      <c r="K329" s="45">
        <v>0</v>
      </c>
      <c r="L329" s="45"/>
      <c r="M329" s="45"/>
      <c r="N329" s="45"/>
      <c r="O329" s="45"/>
      <c r="P329" s="45">
        <v>0</v>
      </c>
      <c r="Q329" s="45"/>
      <c r="R329" s="45">
        <v>21000</v>
      </c>
      <c r="S329" s="222">
        <v>11000</v>
      </c>
      <c r="T329" s="58"/>
      <c r="U329" s="58">
        <v>10000</v>
      </c>
      <c r="V329" s="59"/>
      <c r="W329" s="31">
        <f t="shared" si="43"/>
        <v>21000</v>
      </c>
      <c r="X329" s="60" t="e">
        <f>#REF!-W329</f>
        <v>#REF!</v>
      </c>
      <c r="Y329" s="60"/>
      <c r="Z329" s="33">
        <f t="shared" si="44"/>
        <v>0</v>
      </c>
      <c r="AA329" s="33">
        <f t="shared" si="45"/>
        <v>0</v>
      </c>
      <c r="AB329" s="261"/>
      <c r="AC329" s="261"/>
      <c r="AD329" s="261"/>
      <c r="AE329" s="261"/>
      <c r="AF329" s="34" t="s">
        <v>407</v>
      </c>
    </row>
    <row r="330" spans="1:32" ht="15" customHeight="1" x14ac:dyDescent="0.35">
      <c r="A330" s="264"/>
      <c r="B330" s="268"/>
      <c r="C330" s="268"/>
      <c r="D330" s="50" t="s">
        <v>17</v>
      </c>
      <c r="E330" s="50" t="s">
        <v>27</v>
      </c>
      <c r="F330" s="71" t="s">
        <v>28</v>
      </c>
      <c r="G330" s="27" t="s">
        <v>29</v>
      </c>
      <c r="H330" s="27">
        <v>4</v>
      </c>
      <c r="I330" s="45">
        <f>42800*0.3</f>
        <v>12840</v>
      </c>
      <c r="J330" s="45">
        <v>42800</v>
      </c>
      <c r="K330" s="45">
        <v>0</v>
      </c>
      <c r="L330" s="45"/>
      <c r="M330" s="45"/>
      <c r="N330" s="45"/>
      <c r="O330" s="45"/>
      <c r="P330" s="45">
        <v>0</v>
      </c>
      <c r="Q330" s="45"/>
      <c r="R330" s="45">
        <v>42800</v>
      </c>
      <c r="S330" s="222">
        <v>21400</v>
      </c>
      <c r="T330" s="58"/>
      <c r="U330" s="58">
        <v>21400</v>
      </c>
      <c r="V330" s="59"/>
      <c r="W330" s="31">
        <f t="shared" si="43"/>
        <v>42800</v>
      </c>
      <c r="X330" s="60" t="e">
        <f>#REF!-W330</f>
        <v>#REF!</v>
      </c>
      <c r="Y330" s="60"/>
      <c r="Z330" s="33">
        <f t="shared" si="44"/>
        <v>0</v>
      </c>
      <c r="AA330" s="33">
        <f t="shared" si="45"/>
        <v>0</v>
      </c>
      <c r="AB330" s="261"/>
      <c r="AC330" s="261"/>
      <c r="AD330" s="261"/>
      <c r="AE330" s="261"/>
      <c r="AF330" s="34" t="s">
        <v>408</v>
      </c>
    </row>
    <row r="331" spans="1:32" ht="15" customHeight="1" x14ac:dyDescent="0.35">
      <c r="A331" s="264"/>
      <c r="B331" s="268"/>
      <c r="C331" s="268"/>
      <c r="D331" s="50" t="s">
        <v>31</v>
      </c>
      <c r="E331" s="50" t="s">
        <v>27</v>
      </c>
      <c r="F331" s="71" t="s">
        <v>28</v>
      </c>
      <c r="G331" s="27" t="s">
        <v>29</v>
      </c>
      <c r="H331" s="27">
        <v>4</v>
      </c>
      <c r="I331" s="45">
        <f>9600/4</f>
        <v>2400</v>
      </c>
      <c r="J331" s="45">
        <v>0</v>
      </c>
      <c r="K331" s="45">
        <v>9600</v>
      </c>
      <c r="L331" s="45"/>
      <c r="M331" s="45"/>
      <c r="N331" s="45"/>
      <c r="O331" s="45"/>
      <c r="P331" s="45">
        <v>0</v>
      </c>
      <c r="Q331" s="45"/>
      <c r="R331" s="45">
        <v>0</v>
      </c>
      <c r="S331" s="222"/>
      <c r="T331" s="58">
        <v>9600</v>
      </c>
      <c r="U331" s="58"/>
      <c r="V331" s="59"/>
      <c r="W331" s="31">
        <f t="shared" ref="W331:W394" si="52">L331+N331+P331+S331+U331</f>
        <v>0</v>
      </c>
      <c r="X331" s="60" t="e">
        <f>#REF!-W331</f>
        <v>#REF!</v>
      </c>
      <c r="Y331" s="60"/>
      <c r="Z331" s="33">
        <f t="shared" ref="Z331:Z394" si="53">M331+O331+Q331+T331+V331</f>
        <v>9600</v>
      </c>
      <c r="AA331" s="33">
        <f t="shared" ref="AA331:AA394" si="54">J331-W331</f>
        <v>0</v>
      </c>
      <c r="AB331" s="261"/>
      <c r="AC331" s="261"/>
      <c r="AD331" s="261"/>
      <c r="AE331" s="261"/>
      <c r="AF331" s="34" t="s">
        <v>409</v>
      </c>
    </row>
    <row r="332" spans="1:32" ht="15" customHeight="1" x14ac:dyDescent="0.35">
      <c r="A332" s="264"/>
      <c r="B332" s="268"/>
      <c r="C332" s="268"/>
      <c r="D332" s="50" t="s">
        <v>33</v>
      </c>
      <c r="E332" s="50" t="s">
        <v>34</v>
      </c>
      <c r="F332" s="71" t="s">
        <v>28</v>
      </c>
      <c r="G332" s="27" t="s">
        <v>29</v>
      </c>
      <c r="H332" s="27">
        <v>0.5</v>
      </c>
      <c r="I332" s="45">
        <v>2000</v>
      </c>
      <c r="J332" s="45">
        <v>0</v>
      </c>
      <c r="K332" s="45">
        <v>2000</v>
      </c>
      <c r="L332" s="45"/>
      <c r="M332" s="45"/>
      <c r="N332" s="45"/>
      <c r="O332" s="45"/>
      <c r="P332" s="45">
        <v>0</v>
      </c>
      <c r="Q332" s="45"/>
      <c r="R332" s="45">
        <v>0</v>
      </c>
      <c r="S332" s="58"/>
      <c r="T332" s="58">
        <v>2000</v>
      </c>
      <c r="U332" s="58"/>
      <c r="V332" s="59"/>
      <c r="W332" s="31">
        <f t="shared" si="52"/>
        <v>0</v>
      </c>
      <c r="X332" s="60" t="e">
        <f>#REF!-W332</f>
        <v>#REF!</v>
      </c>
      <c r="Y332" s="60"/>
      <c r="Z332" s="33">
        <f t="shared" si="53"/>
        <v>2000</v>
      </c>
      <c r="AA332" s="33">
        <f t="shared" si="54"/>
        <v>0</v>
      </c>
      <c r="AB332" s="261"/>
      <c r="AC332" s="261"/>
      <c r="AD332" s="261"/>
      <c r="AE332" s="261"/>
      <c r="AF332" s="34" t="s">
        <v>410</v>
      </c>
    </row>
    <row r="333" spans="1:32" ht="15" customHeight="1" x14ac:dyDescent="0.35">
      <c r="A333" s="264"/>
      <c r="B333" s="268"/>
      <c r="C333" s="268"/>
      <c r="D333" s="50" t="s">
        <v>17</v>
      </c>
      <c r="E333" s="50" t="s">
        <v>27</v>
      </c>
      <c r="F333" s="71" t="s">
        <v>28</v>
      </c>
      <c r="G333" s="27" t="s">
        <v>29</v>
      </c>
      <c r="H333" s="27">
        <v>36</v>
      </c>
      <c r="I333" s="45">
        <f>120000/36</f>
        <v>3333.3333333333335</v>
      </c>
      <c r="J333" s="45">
        <v>120000</v>
      </c>
      <c r="K333" s="45">
        <v>0</v>
      </c>
      <c r="L333" s="45"/>
      <c r="M333" s="45"/>
      <c r="N333" s="45"/>
      <c r="O333" s="45"/>
      <c r="P333" s="45">
        <v>0</v>
      </c>
      <c r="Q333" s="45"/>
      <c r="R333" s="45">
        <v>120000</v>
      </c>
      <c r="S333" s="222">
        <v>60000</v>
      </c>
      <c r="T333" s="58"/>
      <c r="U333" s="58">
        <v>60000</v>
      </c>
      <c r="V333" s="59"/>
      <c r="W333" s="31">
        <f t="shared" si="52"/>
        <v>120000</v>
      </c>
      <c r="X333" s="60" t="e">
        <f>#REF!-W333</f>
        <v>#REF!</v>
      </c>
      <c r="Y333" s="60"/>
      <c r="Z333" s="33">
        <f t="shared" si="53"/>
        <v>0</v>
      </c>
      <c r="AA333" s="33">
        <f t="shared" si="54"/>
        <v>0</v>
      </c>
      <c r="AB333" s="261"/>
      <c r="AC333" s="261"/>
      <c r="AD333" s="261"/>
      <c r="AE333" s="261"/>
      <c r="AF333" s="34" t="s">
        <v>411</v>
      </c>
    </row>
    <row r="334" spans="1:32" ht="15" customHeight="1" x14ac:dyDescent="0.35">
      <c r="A334" s="264"/>
      <c r="B334" s="268"/>
      <c r="C334" s="268"/>
      <c r="D334" s="50" t="s">
        <v>17</v>
      </c>
      <c r="E334" s="50" t="s">
        <v>27</v>
      </c>
      <c r="F334" s="71" t="s">
        <v>28</v>
      </c>
      <c r="G334" s="27" t="s">
        <v>29</v>
      </c>
      <c r="H334" s="27">
        <v>36</v>
      </c>
      <c r="I334" s="45">
        <f>24000/36</f>
        <v>666.66666666666663</v>
      </c>
      <c r="J334" s="45">
        <v>0</v>
      </c>
      <c r="K334" s="45">
        <v>24000</v>
      </c>
      <c r="L334" s="45"/>
      <c r="M334" s="45"/>
      <c r="N334" s="45"/>
      <c r="O334" s="45"/>
      <c r="P334" s="45">
        <v>0</v>
      </c>
      <c r="Q334" s="45"/>
      <c r="R334" s="45">
        <v>0</v>
      </c>
      <c r="S334" s="222"/>
      <c r="T334" s="58">
        <v>12000</v>
      </c>
      <c r="U334" s="58"/>
      <c r="V334" s="59">
        <v>12000</v>
      </c>
      <c r="W334" s="31">
        <f t="shared" si="52"/>
        <v>0</v>
      </c>
      <c r="X334" s="60" t="e">
        <f>#REF!-W334</f>
        <v>#REF!</v>
      </c>
      <c r="Y334" s="60"/>
      <c r="Z334" s="33">
        <f t="shared" si="53"/>
        <v>24000</v>
      </c>
      <c r="AA334" s="33">
        <f t="shared" si="54"/>
        <v>0</v>
      </c>
      <c r="AB334" s="261"/>
      <c r="AC334" s="261"/>
      <c r="AD334" s="261"/>
      <c r="AE334" s="261"/>
      <c r="AF334" s="34" t="s">
        <v>412</v>
      </c>
    </row>
    <row r="335" spans="1:32" ht="15" customHeight="1" x14ac:dyDescent="0.35">
      <c r="A335" s="264"/>
      <c r="B335" s="268"/>
      <c r="C335" s="268"/>
      <c r="D335" s="50" t="s">
        <v>17</v>
      </c>
      <c r="E335" s="50" t="s">
        <v>27</v>
      </c>
      <c r="F335" s="71" t="s">
        <v>118</v>
      </c>
      <c r="G335" s="27" t="s">
        <v>86</v>
      </c>
      <c r="H335" s="27">
        <v>1</v>
      </c>
      <c r="I335" s="45">
        <v>10000</v>
      </c>
      <c r="J335" s="45">
        <v>10000</v>
      </c>
      <c r="K335" s="45">
        <v>0</v>
      </c>
      <c r="L335" s="45"/>
      <c r="M335" s="45"/>
      <c r="N335" s="45"/>
      <c r="O335" s="45"/>
      <c r="P335" s="45">
        <v>0</v>
      </c>
      <c r="Q335" s="45"/>
      <c r="R335" s="45">
        <v>10000</v>
      </c>
      <c r="S335" s="222">
        <v>10000</v>
      </c>
      <c r="T335" s="58"/>
      <c r="U335" s="58"/>
      <c r="V335" s="59"/>
      <c r="W335" s="31">
        <f t="shared" si="52"/>
        <v>10000</v>
      </c>
      <c r="X335" s="60" t="e">
        <f>#REF!-W335</f>
        <v>#REF!</v>
      </c>
      <c r="Y335" s="60"/>
      <c r="Z335" s="33">
        <f t="shared" si="53"/>
        <v>0</v>
      </c>
      <c r="AA335" s="33">
        <f t="shared" si="54"/>
        <v>0</v>
      </c>
      <c r="AB335" s="261"/>
      <c r="AC335" s="261"/>
      <c r="AD335" s="261"/>
      <c r="AE335" s="261"/>
      <c r="AF335" s="34" t="s">
        <v>413</v>
      </c>
    </row>
    <row r="336" spans="1:32" ht="15" customHeight="1" x14ac:dyDescent="0.35">
      <c r="A336" s="264"/>
      <c r="B336" s="268"/>
      <c r="C336" s="268"/>
      <c r="D336" s="50" t="s">
        <v>17</v>
      </c>
      <c r="E336" s="50" t="s">
        <v>27</v>
      </c>
      <c r="F336" s="71" t="s">
        <v>39</v>
      </c>
      <c r="G336" s="27" t="s">
        <v>40</v>
      </c>
      <c r="H336" s="27">
        <v>1</v>
      </c>
      <c r="I336" s="45">
        <f>4500+8000</f>
        <v>12500</v>
      </c>
      <c r="J336" s="45">
        <v>12500</v>
      </c>
      <c r="K336" s="45">
        <v>0</v>
      </c>
      <c r="L336" s="45"/>
      <c r="M336" s="45"/>
      <c r="N336" s="45"/>
      <c r="O336" s="45"/>
      <c r="P336" s="45">
        <v>0</v>
      </c>
      <c r="Q336" s="45"/>
      <c r="R336" s="45">
        <v>12500</v>
      </c>
      <c r="S336" s="222">
        <v>12500</v>
      </c>
      <c r="T336" s="58"/>
      <c r="U336" s="58"/>
      <c r="V336" s="59"/>
      <c r="W336" s="31">
        <f t="shared" si="52"/>
        <v>12500</v>
      </c>
      <c r="X336" s="60" t="e">
        <f>#REF!-W336</f>
        <v>#REF!</v>
      </c>
      <c r="Y336" s="60"/>
      <c r="Z336" s="33">
        <f t="shared" si="53"/>
        <v>0</v>
      </c>
      <c r="AA336" s="33">
        <f t="shared" si="54"/>
        <v>0</v>
      </c>
      <c r="AB336" s="261"/>
      <c r="AC336" s="261"/>
      <c r="AD336" s="261"/>
      <c r="AE336" s="261"/>
      <c r="AF336" s="34" t="s">
        <v>414</v>
      </c>
    </row>
    <row r="337" spans="1:32" ht="15" customHeight="1" x14ac:dyDescent="0.35">
      <c r="A337" s="264"/>
      <c r="B337" s="268"/>
      <c r="C337" s="268"/>
      <c r="D337" s="50" t="s">
        <v>17</v>
      </c>
      <c r="E337" s="50" t="s">
        <v>34</v>
      </c>
      <c r="F337" s="71" t="s">
        <v>53</v>
      </c>
      <c r="G337" s="27" t="s">
        <v>86</v>
      </c>
      <c r="H337" s="27">
        <v>1</v>
      </c>
      <c r="I337" s="45">
        <v>1000</v>
      </c>
      <c r="J337" s="45">
        <v>0</v>
      </c>
      <c r="K337" s="45">
        <v>1000</v>
      </c>
      <c r="L337" s="45"/>
      <c r="M337" s="45"/>
      <c r="N337" s="45"/>
      <c r="O337" s="45"/>
      <c r="P337" s="45">
        <v>0</v>
      </c>
      <c r="Q337" s="45"/>
      <c r="R337" s="45">
        <v>0</v>
      </c>
      <c r="S337" s="58"/>
      <c r="T337" s="58">
        <v>1000</v>
      </c>
      <c r="U337" s="58"/>
      <c r="V337" s="59"/>
      <c r="W337" s="31">
        <f t="shared" si="52"/>
        <v>0</v>
      </c>
      <c r="X337" s="60" t="e">
        <f>#REF!-W337</f>
        <v>#REF!</v>
      </c>
      <c r="Y337" s="60"/>
      <c r="Z337" s="33">
        <f t="shared" si="53"/>
        <v>1000</v>
      </c>
      <c r="AA337" s="33">
        <f t="shared" si="54"/>
        <v>0</v>
      </c>
      <c r="AB337" s="261"/>
      <c r="AC337" s="261"/>
      <c r="AD337" s="261"/>
      <c r="AE337" s="261"/>
      <c r="AF337" s="34" t="s">
        <v>415</v>
      </c>
    </row>
    <row r="338" spans="1:32" ht="15" customHeight="1" x14ac:dyDescent="0.35">
      <c r="A338" s="264"/>
      <c r="B338" s="268"/>
      <c r="C338" s="268"/>
      <c r="D338" s="50" t="s">
        <v>17</v>
      </c>
      <c r="E338" s="50" t="s">
        <v>34</v>
      </c>
      <c r="F338" s="71" t="s">
        <v>69</v>
      </c>
      <c r="G338" s="27" t="s">
        <v>55</v>
      </c>
      <c r="H338" s="27">
        <v>48</v>
      </c>
      <c r="I338" s="45">
        <v>1100</v>
      </c>
      <c r="J338" s="45">
        <v>39600</v>
      </c>
      <c r="K338" s="45">
        <v>0</v>
      </c>
      <c r="L338" s="45"/>
      <c r="M338" s="45"/>
      <c r="N338" s="45"/>
      <c r="O338" s="45"/>
      <c r="P338" s="45">
        <v>13094.900000000001</v>
      </c>
      <c r="Q338" s="45"/>
      <c r="R338" s="45">
        <v>26505.1</v>
      </c>
      <c r="S338" s="58">
        <f>13252.55+25000</f>
        <v>38252.550000000003</v>
      </c>
      <c r="T338" s="58"/>
      <c r="U338" s="58">
        <f>13252.55+30348.01</f>
        <v>43600.56</v>
      </c>
      <c r="V338" s="59"/>
      <c r="W338" s="31">
        <f t="shared" si="52"/>
        <v>94948.010000000009</v>
      </c>
      <c r="X338" s="60" t="e">
        <f>#REF!-W338</f>
        <v>#REF!</v>
      </c>
      <c r="Y338" s="60"/>
      <c r="Z338" s="33">
        <f t="shared" si="53"/>
        <v>0</v>
      </c>
      <c r="AA338" s="33">
        <f t="shared" si="54"/>
        <v>-55348.010000000009</v>
      </c>
      <c r="AB338" s="261"/>
      <c r="AC338" s="261"/>
      <c r="AD338" s="261"/>
      <c r="AE338" s="261"/>
      <c r="AF338" s="34" t="s">
        <v>416</v>
      </c>
    </row>
    <row r="339" spans="1:32" ht="15" customHeight="1" x14ac:dyDescent="0.35">
      <c r="A339" s="264"/>
      <c r="B339" s="268"/>
      <c r="C339" s="268"/>
      <c r="D339" s="50" t="s">
        <v>17</v>
      </c>
      <c r="E339" s="50" t="s">
        <v>161</v>
      </c>
      <c r="F339" s="71" t="s">
        <v>36</v>
      </c>
      <c r="G339" s="27" t="s">
        <v>55</v>
      </c>
      <c r="H339" s="27">
        <v>10</v>
      </c>
      <c r="I339" s="45">
        <v>4400</v>
      </c>
      <c r="J339" s="45">
        <v>41600</v>
      </c>
      <c r="K339" s="45">
        <v>0</v>
      </c>
      <c r="L339" s="45">
        <v>5953.03</v>
      </c>
      <c r="M339" s="45"/>
      <c r="N339" s="45"/>
      <c r="O339" s="45"/>
      <c r="P339" s="45">
        <v>0</v>
      </c>
      <c r="Q339" s="45"/>
      <c r="R339" s="45">
        <v>35646.97</v>
      </c>
      <c r="S339" s="58">
        <v>17823.485000000001</v>
      </c>
      <c r="T339" s="58"/>
      <c r="U339" s="58">
        <v>17823.485000000001</v>
      </c>
      <c r="V339" s="59"/>
      <c r="W339" s="31">
        <f t="shared" si="52"/>
        <v>41600</v>
      </c>
      <c r="X339" s="60" t="e">
        <f>#REF!-W339</f>
        <v>#REF!</v>
      </c>
      <c r="Y339" s="60"/>
      <c r="Z339" s="33">
        <f t="shared" si="53"/>
        <v>0</v>
      </c>
      <c r="AA339" s="33">
        <f t="shared" si="54"/>
        <v>0</v>
      </c>
      <c r="AB339" s="261"/>
      <c r="AC339" s="261"/>
      <c r="AD339" s="261"/>
      <c r="AE339" s="261"/>
      <c r="AF339" s="34" t="s">
        <v>417</v>
      </c>
    </row>
    <row r="340" spans="1:32" ht="15" customHeight="1" x14ac:dyDescent="0.35">
      <c r="A340" s="264"/>
      <c r="B340" s="268"/>
      <c r="C340" s="268"/>
      <c r="D340" s="50" t="s">
        <v>17</v>
      </c>
      <c r="E340" s="50" t="s">
        <v>34</v>
      </c>
      <c r="F340" s="71" t="s">
        <v>130</v>
      </c>
      <c r="G340" s="27" t="s">
        <v>40</v>
      </c>
      <c r="H340" s="27">
        <v>48</v>
      </c>
      <c r="I340" s="45">
        <v>1000</v>
      </c>
      <c r="J340" s="45">
        <v>48000</v>
      </c>
      <c r="K340" s="45">
        <v>0</v>
      </c>
      <c r="L340" s="45"/>
      <c r="M340" s="45"/>
      <c r="N340" s="45"/>
      <c r="O340" s="45"/>
      <c r="P340" s="45">
        <v>5108.0200000000004</v>
      </c>
      <c r="Q340" s="45"/>
      <c r="R340" s="45">
        <v>42891.979999999996</v>
      </c>
      <c r="S340" s="58">
        <v>21445.989999999998</v>
      </c>
      <c r="T340" s="58"/>
      <c r="U340" s="58">
        <v>21445.989999999998</v>
      </c>
      <c r="V340" s="59"/>
      <c r="W340" s="31">
        <f t="shared" si="52"/>
        <v>48000</v>
      </c>
      <c r="X340" s="60" t="e">
        <f>#REF!-W340</f>
        <v>#REF!</v>
      </c>
      <c r="Y340" s="60"/>
      <c r="Z340" s="33">
        <f t="shared" si="53"/>
        <v>0</v>
      </c>
      <c r="AA340" s="33">
        <f t="shared" si="54"/>
        <v>0</v>
      </c>
      <c r="AB340" s="261"/>
      <c r="AC340" s="261"/>
      <c r="AD340" s="261"/>
      <c r="AE340" s="261"/>
      <c r="AF340" s="34" t="s">
        <v>418</v>
      </c>
    </row>
    <row r="341" spans="1:32" ht="15" customHeight="1" x14ac:dyDescent="0.35">
      <c r="A341" s="264"/>
      <c r="B341" s="268"/>
      <c r="C341" s="268"/>
      <c r="D341" s="50" t="s">
        <v>17</v>
      </c>
      <c r="E341" s="50" t="s">
        <v>34</v>
      </c>
      <c r="F341" s="71" t="s">
        <v>127</v>
      </c>
      <c r="G341" s="27" t="s">
        <v>86</v>
      </c>
      <c r="H341" s="27">
        <v>48</v>
      </c>
      <c r="I341" s="45">
        <v>500</v>
      </c>
      <c r="J341" s="45">
        <v>12000</v>
      </c>
      <c r="K341" s="45">
        <v>0</v>
      </c>
      <c r="L341" s="45"/>
      <c r="M341" s="45"/>
      <c r="N341" s="45"/>
      <c r="O341" s="45"/>
      <c r="P341" s="45">
        <v>0</v>
      </c>
      <c r="Q341" s="45"/>
      <c r="R341" s="45">
        <v>12000</v>
      </c>
      <c r="S341" s="58">
        <v>6000</v>
      </c>
      <c r="T341" s="58"/>
      <c r="U341" s="58">
        <v>6000</v>
      </c>
      <c r="V341" s="59"/>
      <c r="W341" s="31">
        <f t="shared" si="52"/>
        <v>12000</v>
      </c>
      <c r="X341" s="60" t="e">
        <f>#REF!-W341</f>
        <v>#REF!</v>
      </c>
      <c r="Y341" s="60"/>
      <c r="Z341" s="33">
        <f t="shared" si="53"/>
        <v>0</v>
      </c>
      <c r="AA341" s="33">
        <f t="shared" si="54"/>
        <v>0</v>
      </c>
      <c r="AB341" s="261"/>
      <c r="AC341" s="261"/>
      <c r="AD341" s="261"/>
      <c r="AE341" s="261"/>
      <c r="AF341" s="34" t="s">
        <v>419</v>
      </c>
    </row>
    <row r="342" spans="1:32" ht="15" customHeight="1" x14ac:dyDescent="0.35">
      <c r="A342" s="264"/>
      <c r="B342" s="268"/>
      <c r="C342" s="268"/>
      <c r="D342" s="50" t="s">
        <v>17</v>
      </c>
      <c r="E342" s="50" t="s">
        <v>34</v>
      </c>
      <c r="F342" s="71" t="s">
        <v>39</v>
      </c>
      <c r="G342" s="27" t="s">
        <v>40</v>
      </c>
      <c r="H342" s="27">
        <v>4</v>
      </c>
      <c r="I342" s="45">
        <v>3000</v>
      </c>
      <c r="J342" s="45">
        <v>12000</v>
      </c>
      <c r="K342" s="45">
        <v>0</v>
      </c>
      <c r="L342" s="45"/>
      <c r="M342" s="45"/>
      <c r="N342" s="45"/>
      <c r="O342" s="45"/>
      <c r="P342" s="45">
        <v>20306.14</v>
      </c>
      <c r="Q342" s="45"/>
      <c r="R342" s="45">
        <v>-8306.14</v>
      </c>
      <c r="S342" s="58">
        <v>-8306.14</v>
      </c>
      <c r="T342" s="58"/>
      <c r="U342" s="58">
        <v>0</v>
      </c>
      <c r="V342" s="59"/>
      <c r="W342" s="31">
        <f t="shared" si="52"/>
        <v>12000</v>
      </c>
      <c r="X342" s="60" t="e">
        <f>#REF!-W342</f>
        <v>#REF!</v>
      </c>
      <c r="Y342" s="60"/>
      <c r="Z342" s="33">
        <f t="shared" si="53"/>
        <v>0</v>
      </c>
      <c r="AA342" s="33">
        <f t="shared" si="54"/>
        <v>0</v>
      </c>
      <c r="AB342" s="261"/>
      <c r="AC342" s="261"/>
      <c r="AD342" s="261"/>
      <c r="AE342" s="261"/>
      <c r="AF342" s="34" t="s">
        <v>420</v>
      </c>
    </row>
    <row r="343" spans="1:32" ht="15" customHeight="1" x14ac:dyDescent="0.35">
      <c r="A343" s="264"/>
      <c r="B343" s="268"/>
      <c r="C343" s="268"/>
      <c r="D343" s="50" t="s">
        <v>17</v>
      </c>
      <c r="E343" s="50" t="s">
        <v>34</v>
      </c>
      <c r="F343" s="71" t="s">
        <v>64</v>
      </c>
      <c r="G343" s="27" t="s">
        <v>62</v>
      </c>
      <c r="H343" s="27">
        <v>1</v>
      </c>
      <c r="I343" s="45">
        <v>4000</v>
      </c>
      <c r="J343" s="45">
        <v>4000</v>
      </c>
      <c r="K343" s="45">
        <v>0</v>
      </c>
      <c r="L343" s="45"/>
      <c r="M343" s="45"/>
      <c r="N343" s="45"/>
      <c r="O343" s="45"/>
      <c r="P343" s="45">
        <v>2117.9899999999998</v>
      </c>
      <c r="Q343" s="45"/>
      <c r="R343" s="45">
        <v>1882.0100000000002</v>
      </c>
      <c r="S343" s="58">
        <v>1882.0100000000002</v>
      </c>
      <c r="T343" s="58"/>
      <c r="U343" s="58"/>
      <c r="V343" s="59"/>
      <c r="W343" s="31">
        <f t="shared" si="52"/>
        <v>4000</v>
      </c>
      <c r="X343" s="60" t="e">
        <f>#REF!-W343</f>
        <v>#REF!</v>
      </c>
      <c r="Y343" s="60"/>
      <c r="Z343" s="33">
        <f t="shared" si="53"/>
        <v>0</v>
      </c>
      <c r="AA343" s="33">
        <f t="shared" si="54"/>
        <v>0</v>
      </c>
      <c r="AB343" s="261"/>
      <c r="AC343" s="261"/>
      <c r="AD343" s="261"/>
      <c r="AE343" s="261"/>
      <c r="AF343" s="34" t="s">
        <v>421</v>
      </c>
    </row>
    <row r="344" spans="1:32" ht="15" customHeight="1" x14ac:dyDescent="0.35">
      <c r="A344" s="264"/>
      <c r="B344" s="268"/>
      <c r="C344" s="268"/>
      <c r="D344" s="50" t="s">
        <v>17</v>
      </c>
      <c r="E344" s="50" t="s">
        <v>34</v>
      </c>
      <c r="F344" s="71" t="s">
        <v>71</v>
      </c>
      <c r="G344" s="27" t="s">
        <v>62</v>
      </c>
      <c r="H344" s="27">
        <v>4</v>
      </c>
      <c r="I344" s="45">
        <v>350</v>
      </c>
      <c r="J344" s="45">
        <v>1400</v>
      </c>
      <c r="K344" s="45">
        <v>0</v>
      </c>
      <c r="L344" s="45"/>
      <c r="M344" s="45"/>
      <c r="N344" s="45"/>
      <c r="O344" s="45"/>
      <c r="P344" s="45">
        <v>0</v>
      </c>
      <c r="Q344" s="45"/>
      <c r="R344" s="45">
        <v>1400</v>
      </c>
      <c r="S344" s="58">
        <v>1400</v>
      </c>
      <c r="T344" s="58"/>
      <c r="U344" s="58">
        <v>0</v>
      </c>
      <c r="V344" s="59"/>
      <c r="W344" s="31">
        <f t="shared" si="52"/>
        <v>1400</v>
      </c>
      <c r="X344" s="60" t="e">
        <f>#REF!-W344</f>
        <v>#REF!</v>
      </c>
      <c r="Y344" s="60"/>
      <c r="Z344" s="33">
        <f t="shared" si="53"/>
        <v>0</v>
      </c>
      <c r="AA344" s="33">
        <f t="shared" si="54"/>
        <v>0</v>
      </c>
      <c r="AB344" s="261"/>
      <c r="AC344" s="261"/>
      <c r="AD344" s="261"/>
      <c r="AE344" s="261"/>
      <c r="AF344" s="34" t="s">
        <v>422</v>
      </c>
    </row>
    <row r="345" spans="1:32" ht="15" customHeight="1" x14ac:dyDescent="0.35">
      <c r="A345" s="264"/>
      <c r="B345" s="268"/>
      <c r="C345" s="268"/>
      <c r="D345" s="50" t="s">
        <v>17</v>
      </c>
      <c r="E345" s="50" t="s">
        <v>34</v>
      </c>
      <c r="F345" s="71" t="s">
        <v>73</v>
      </c>
      <c r="G345" s="27" t="s">
        <v>86</v>
      </c>
      <c r="H345" s="27">
        <v>1</v>
      </c>
      <c r="I345" s="45">
        <v>2500</v>
      </c>
      <c r="J345" s="45">
        <v>10000</v>
      </c>
      <c r="K345" s="45">
        <v>0</v>
      </c>
      <c r="L345" s="45"/>
      <c r="M345" s="45"/>
      <c r="N345" s="45"/>
      <c r="O345" s="45"/>
      <c r="P345" s="45">
        <v>193.19</v>
      </c>
      <c r="Q345" s="45"/>
      <c r="R345" s="45">
        <v>9806.81</v>
      </c>
      <c r="S345" s="58">
        <v>4903.4049999999997</v>
      </c>
      <c r="T345" s="58"/>
      <c r="U345" s="58">
        <v>4903.4049999999997</v>
      </c>
      <c r="V345" s="59"/>
      <c r="W345" s="31">
        <f t="shared" si="52"/>
        <v>10000</v>
      </c>
      <c r="X345" s="60" t="e">
        <f>#REF!-W345</f>
        <v>#REF!</v>
      </c>
      <c r="Y345" s="60"/>
      <c r="Z345" s="33">
        <f t="shared" si="53"/>
        <v>0</v>
      </c>
      <c r="AA345" s="33">
        <f t="shared" si="54"/>
        <v>0</v>
      </c>
      <c r="AB345" s="261"/>
      <c r="AC345" s="261"/>
      <c r="AD345" s="261"/>
      <c r="AE345" s="261"/>
      <c r="AF345" s="34" t="s">
        <v>423</v>
      </c>
    </row>
    <row r="346" spans="1:32" ht="15" customHeight="1" x14ac:dyDescent="0.35">
      <c r="A346" s="264"/>
      <c r="B346" s="268"/>
      <c r="C346" s="268"/>
      <c r="D346" s="50" t="s">
        <v>17</v>
      </c>
      <c r="E346" s="50" t="s">
        <v>34</v>
      </c>
      <c r="F346" s="71" t="s">
        <v>61</v>
      </c>
      <c r="G346" s="27" t="s">
        <v>62</v>
      </c>
      <c r="H346" s="27">
        <v>25</v>
      </c>
      <c r="I346" s="45">
        <v>568</v>
      </c>
      <c r="J346" s="45">
        <v>14200</v>
      </c>
      <c r="K346" s="45">
        <v>0</v>
      </c>
      <c r="L346" s="45"/>
      <c r="M346" s="45"/>
      <c r="N346" s="45"/>
      <c r="O346" s="45"/>
      <c r="P346" s="45">
        <v>4429.07</v>
      </c>
      <c r="Q346" s="45"/>
      <c r="R346" s="45">
        <v>9770.93</v>
      </c>
      <c r="S346" s="58">
        <v>9770.93</v>
      </c>
      <c r="T346" s="58"/>
      <c r="U346" s="58"/>
      <c r="V346" s="59"/>
      <c r="W346" s="31">
        <f t="shared" si="52"/>
        <v>14200</v>
      </c>
      <c r="X346" s="60" t="e">
        <f>#REF!-W346</f>
        <v>#REF!</v>
      </c>
      <c r="Y346" s="60"/>
      <c r="Z346" s="33">
        <f t="shared" si="53"/>
        <v>0</v>
      </c>
      <c r="AA346" s="33">
        <f t="shared" si="54"/>
        <v>0</v>
      </c>
      <c r="AB346" s="261"/>
      <c r="AC346" s="261"/>
      <c r="AD346" s="261"/>
      <c r="AE346" s="261"/>
      <c r="AF346" s="34" t="s">
        <v>424</v>
      </c>
    </row>
    <row r="347" spans="1:32" ht="15" customHeight="1" x14ac:dyDescent="0.35">
      <c r="A347" s="264"/>
      <c r="B347" s="268"/>
      <c r="C347" s="268"/>
      <c r="D347" s="50" t="s">
        <v>17</v>
      </c>
      <c r="E347" s="50" t="s">
        <v>34</v>
      </c>
      <c r="F347" s="71" t="s">
        <v>61</v>
      </c>
      <c r="G347" s="27" t="s">
        <v>62</v>
      </c>
      <c r="H347" s="27">
        <v>1</v>
      </c>
      <c r="I347" s="45">
        <v>2000</v>
      </c>
      <c r="J347" s="45">
        <v>2000</v>
      </c>
      <c r="K347" s="45">
        <v>0</v>
      </c>
      <c r="L347" s="45"/>
      <c r="M347" s="45"/>
      <c r="N347" s="45"/>
      <c r="O347" s="45"/>
      <c r="P347" s="45">
        <v>1357.34</v>
      </c>
      <c r="Q347" s="45"/>
      <c r="R347" s="45">
        <v>642.66000000000008</v>
      </c>
      <c r="S347" s="58">
        <v>642.66000000000008</v>
      </c>
      <c r="T347" s="58"/>
      <c r="U347" s="58"/>
      <c r="V347" s="59"/>
      <c r="W347" s="31">
        <f t="shared" si="52"/>
        <v>2000</v>
      </c>
      <c r="X347" s="60" t="e">
        <f>#REF!-W347</f>
        <v>#REF!</v>
      </c>
      <c r="Y347" s="60"/>
      <c r="Z347" s="33">
        <f t="shared" si="53"/>
        <v>0</v>
      </c>
      <c r="AA347" s="33">
        <f t="shared" si="54"/>
        <v>0</v>
      </c>
      <c r="AB347" s="261"/>
      <c r="AC347" s="261"/>
      <c r="AD347" s="261"/>
      <c r="AE347" s="261"/>
      <c r="AF347" s="34" t="s">
        <v>425</v>
      </c>
    </row>
    <row r="348" spans="1:32" ht="15" customHeight="1" x14ac:dyDescent="0.35">
      <c r="A348" s="264"/>
      <c r="B348" s="268"/>
      <c r="C348" s="268"/>
      <c r="D348" s="50" t="s">
        <v>17</v>
      </c>
      <c r="E348" s="50" t="s">
        <v>34</v>
      </c>
      <c r="F348" s="71" t="s">
        <v>53</v>
      </c>
      <c r="G348" s="27" t="s">
        <v>62</v>
      </c>
      <c r="H348" s="27">
        <v>3</v>
      </c>
      <c r="I348" s="45">
        <v>3000</v>
      </c>
      <c r="J348" s="45">
        <v>9000</v>
      </c>
      <c r="K348" s="45">
        <v>0</v>
      </c>
      <c r="L348" s="45"/>
      <c r="M348" s="45"/>
      <c r="N348" s="45"/>
      <c r="O348" s="45"/>
      <c r="P348" s="45">
        <v>0</v>
      </c>
      <c r="Q348" s="45"/>
      <c r="R348" s="45">
        <v>9000</v>
      </c>
      <c r="S348" s="58">
        <v>9000</v>
      </c>
      <c r="T348" s="58"/>
      <c r="U348" s="58"/>
      <c r="V348" s="59"/>
      <c r="W348" s="31">
        <f t="shared" si="52"/>
        <v>9000</v>
      </c>
      <c r="X348" s="60" t="e">
        <f>#REF!-W348</f>
        <v>#REF!</v>
      </c>
      <c r="Y348" s="60"/>
      <c r="Z348" s="33">
        <f t="shared" si="53"/>
        <v>0</v>
      </c>
      <c r="AA348" s="33">
        <f t="shared" si="54"/>
        <v>0</v>
      </c>
      <c r="AB348" s="262"/>
      <c r="AC348" s="262"/>
      <c r="AD348" s="261"/>
      <c r="AE348" s="261"/>
      <c r="AF348" s="34" t="s">
        <v>426</v>
      </c>
    </row>
    <row r="349" spans="1:32" ht="15" customHeight="1" x14ac:dyDescent="0.35">
      <c r="A349" s="264"/>
      <c r="B349" s="50"/>
      <c r="C349" s="53"/>
      <c r="D349" s="53"/>
      <c r="E349" s="53"/>
      <c r="F349" s="74"/>
      <c r="G349" s="41"/>
      <c r="H349" s="41"/>
      <c r="I349" s="54"/>
      <c r="J349" s="54">
        <f>SUM(J323:J348)</f>
        <v>616327</v>
      </c>
      <c r="K349" s="54">
        <f t="shared" ref="K349:AC349" si="55">SUM(K323:K348)</f>
        <v>52000</v>
      </c>
      <c r="L349" s="54">
        <f t="shared" si="55"/>
        <v>18676.939999999999</v>
      </c>
      <c r="M349" s="54">
        <f t="shared" si="55"/>
        <v>0</v>
      </c>
      <c r="N349" s="54">
        <f t="shared" si="55"/>
        <v>14077.54</v>
      </c>
      <c r="O349" s="54">
        <f t="shared" si="55"/>
        <v>6855.48</v>
      </c>
      <c r="P349" s="54">
        <f t="shared" si="55"/>
        <v>60684.19</v>
      </c>
      <c r="Q349" s="54">
        <f t="shared" si="55"/>
        <v>0</v>
      </c>
      <c r="R349" s="54">
        <f t="shared" si="55"/>
        <v>522888.3299999999</v>
      </c>
      <c r="S349" s="54">
        <f t="shared" si="55"/>
        <v>275714.88999999996</v>
      </c>
      <c r="T349" s="54">
        <f t="shared" si="55"/>
        <v>28000</v>
      </c>
      <c r="U349" s="54">
        <f t="shared" si="55"/>
        <v>247173.43999999997</v>
      </c>
      <c r="V349" s="54">
        <f t="shared" si="55"/>
        <v>12000</v>
      </c>
      <c r="W349" s="54">
        <f t="shared" si="55"/>
        <v>616327</v>
      </c>
      <c r="X349" s="54" t="e">
        <f t="shared" si="55"/>
        <v>#REF!</v>
      </c>
      <c r="Y349" s="54">
        <f t="shared" si="55"/>
        <v>0</v>
      </c>
      <c r="Z349" s="54">
        <f t="shared" si="55"/>
        <v>46855.479999999996</v>
      </c>
      <c r="AA349" s="54">
        <f t="shared" si="55"/>
        <v>-1.4551915228366852E-11</v>
      </c>
      <c r="AB349" s="54">
        <f t="shared" si="55"/>
        <v>616327</v>
      </c>
      <c r="AC349" s="54">
        <f t="shared" si="55"/>
        <v>46855.479999999996</v>
      </c>
      <c r="AD349" s="261"/>
      <c r="AE349" s="261"/>
      <c r="AF349" s="49"/>
    </row>
    <row r="350" spans="1:32" ht="15" customHeight="1" x14ac:dyDescent="0.35">
      <c r="A350" s="264"/>
      <c r="B350" s="268" t="s">
        <v>427</v>
      </c>
      <c r="C350" s="268" t="s">
        <v>428</v>
      </c>
      <c r="D350" s="50" t="s">
        <v>33</v>
      </c>
      <c r="E350" s="50" t="s">
        <v>34</v>
      </c>
      <c r="F350" s="71" t="s">
        <v>28</v>
      </c>
      <c r="G350" s="27" t="s">
        <v>29</v>
      </c>
      <c r="H350" s="27">
        <v>14</v>
      </c>
      <c r="I350" s="45">
        <v>4000</v>
      </c>
      <c r="J350" s="45">
        <v>0</v>
      </c>
      <c r="K350" s="45">
        <v>56000</v>
      </c>
      <c r="L350" s="45"/>
      <c r="M350" s="45"/>
      <c r="N350" s="45"/>
      <c r="O350" s="45"/>
      <c r="P350" s="45">
        <v>0</v>
      </c>
      <c r="Q350" s="45"/>
      <c r="R350" s="45">
        <v>0</v>
      </c>
      <c r="S350" s="61">
        <v>0</v>
      </c>
      <c r="T350" s="61">
        <v>28000</v>
      </c>
      <c r="U350" s="61">
        <v>0</v>
      </c>
      <c r="V350" s="62">
        <v>28000</v>
      </c>
      <c r="W350" s="31">
        <f t="shared" si="52"/>
        <v>0</v>
      </c>
      <c r="X350" s="76" t="e">
        <f>#REF!-W350</f>
        <v>#REF!</v>
      </c>
      <c r="Y350" s="76"/>
      <c r="Z350" s="33">
        <f t="shared" si="53"/>
        <v>56000</v>
      </c>
      <c r="AA350" s="33">
        <f t="shared" si="54"/>
        <v>0</v>
      </c>
      <c r="AB350" s="260">
        <f>SUM(W350:W358)</f>
        <v>161100</v>
      </c>
      <c r="AC350" s="260">
        <f>SUM(Z350:Z358)</f>
        <v>56000</v>
      </c>
      <c r="AD350" s="261"/>
      <c r="AE350" s="261"/>
      <c r="AF350" s="34" t="s">
        <v>429</v>
      </c>
    </row>
    <row r="351" spans="1:32" ht="15" customHeight="1" x14ac:dyDescent="0.35">
      <c r="A351" s="264"/>
      <c r="B351" s="268"/>
      <c r="C351" s="268"/>
      <c r="D351" s="50" t="s">
        <v>17</v>
      </c>
      <c r="E351" s="50" t="s">
        <v>34</v>
      </c>
      <c r="F351" s="71" t="s">
        <v>118</v>
      </c>
      <c r="G351" s="27" t="s">
        <v>86</v>
      </c>
      <c r="H351" s="27">
        <v>4</v>
      </c>
      <c r="I351" s="45">
        <v>5000</v>
      </c>
      <c r="J351" s="45">
        <v>20000</v>
      </c>
      <c r="K351" s="45">
        <v>0</v>
      </c>
      <c r="L351" s="45"/>
      <c r="M351" s="45"/>
      <c r="N351" s="45"/>
      <c r="O351" s="45"/>
      <c r="P351" s="45">
        <v>0</v>
      </c>
      <c r="Q351" s="45"/>
      <c r="R351" s="45">
        <v>20000</v>
      </c>
      <c r="S351" s="61">
        <v>0</v>
      </c>
      <c r="T351" s="61"/>
      <c r="U351" s="61">
        <v>0</v>
      </c>
      <c r="V351" s="62"/>
      <c r="W351" s="31">
        <f t="shared" si="52"/>
        <v>0</v>
      </c>
      <c r="X351" s="76" t="e">
        <f>#REF!-W351</f>
        <v>#REF!</v>
      </c>
      <c r="Y351" s="76"/>
      <c r="Z351" s="33">
        <f t="shared" si="53"/>
        <v>0</v>
      </c>
      <c r="AA351" s="33">
        <f t="shared" si="54"/>
        <v>20000</v>
      </c>
      <c r="AB351" s="261"/>
      <c r="AC351" s="261"/>
      <c r="AD351" s="261"/>
      <c r="AE351" s="261"/>
      <c r="AF351" s="34" t="s">
        <v>430</v>
      </c>
    </row>
    <row r="352" spans="1:32" ht="15" customHeight="1" x14ac:dyDescent="0.35">
      <c r="A352" s="264"/>
      <c r="B352" s="268"/>
      <c r="C352" s="268"/>
      <c r="D352" s="50" t="s">
        <v>17</v>
      </c>
      <c r="E352" s="50" t="s">
        <v>361</v>
      </c>
      <c r="F352" s="71" t="s">
        <v>61</v>
      </c>
      <c r="G352" s="27" t="s">
        <v>431</v>
      </c>
      <c r="H352" s="27">
        <v>5</v>
      </c>
      <c r="I352" s="45">
        <v>8300</v>
      </c>
      <c r="J352" s="45">
        <v>41500</v>
      </c>
      <c r="K352" s="45">
        <v>0</v>
      </c>
      <c r="L352" s="45"/>
      <c r="M352" s="45"/>
      <c r="N352" s="45"/>
      <c r="O352" s="45"/>
      <c r="P352" s="45">
        <v>0</v>
      </c>
      <c r="Q352" s="45"/>
      <c r="R352" s="45">
        <v>41500</v>
      </c>
      <c r="S352" s="61">
        <v>41500</v>
      </c>
      <c r="T352" s="61"/>
      <c r="U352" s="61"/>
      <c r="V352" s="62"/>
      <c r="W352" s="31">
        <f t="shared" si="52"/>
        <v>41500</v>
      </c>
      <c r="X352" s="76" t="e">
        <f>#REF!-W352</f>
        <v>#REF!</v>
      </c>
      <c r="Y352" s="76"/>
      <c r="Z352" s="33">
        <f t="shared" si="53"/>
        <v>0</v>
      </c>
      <c r="AA352" s="33">
        <f t="shared" si="54"/>
        <v>0</v>
      </c>
      <c r="AB352" s="261"/>
      <c r="AC352" s="261"/>
      <c r="AD352" s="261"/>
      <c r="AE352" s="261"/>
      <c r="AF352" s="34" t="s">
        <v>432</v>
      </c>
    </row>
    <row r="353" spans="1:32" ht="15" customHeight="1" x14ac:dyDescent="0.35">
      <c r="A353" s="264"/>
      <c r="B353" s="268"/>
      <c r="C353" s="268"/>
      <c r="D353" s="50" t="s">
        <v>17</v>
      </c>
      <c r="E353" s="50" t="s">
        <v>34</v>
      </c>
      <c r="F353" s="71" t="s">
        <v>57</v>
      </c>
      <c r="G353" s="27" t="s">
        <v>58</v>
      </c>
      <c r="H353" s="27">
        <v>30</v>
      </c>
      <c r="I353" s="45">
        <v>600</v>
      </c>
      <c r="J353" s="45">
        <v>18000</v>
      </c>
      <c r="K353" s="45">
        <v>0</v>
      </c>
      <c r="L353" s="45"/>
      <c r="M353" s="45"/>
      <c r="N353" s="45"/>
      <c r="O353" s="45"/>
      <c r="P353" s="45">
        <v>0</v>
      </c>
      <c r="Q353" s="45"/>
      <c r="R353" s="45">
        <v>18000</v>
      </c>
      <c r="S353" s="61">
        <v>0</v>
      </c>
      <c r="T353" s="61"/>
      <c r="U353" s="61"/>
      <c r="V353" s="62"/>
      <c r="W353" s="31">
        <f t="shared" si="52"/>
        <v>0</v>
      </c>
      <c r="X353" s="76" t="e">
        <f>#REF!-W353</f>
        <v>#REF!</v>
      </c>
      <c r="Y353" s="76"/>
      <c r="Z353" s="33">
        <f t="shared" si="53"/>
        <v>0</v>
      </c>
      <c r="AA353" s="33">
        <f t="shared" si="54"/>
        <v>18000</v>
      </c>
      <c r="AB353" s="261"/>
      <c r="AC353" s="261"/>
      <c r="AD353" s="261"/>
      <c r="AE353" s="261"/>
      <c r="AF353" s="34" t="s">
        <v>433</v>
      </c>
    </row>
    <row r="354" spans="1:32" ht="15" customHeight="1" x14ac:dyDescent="0.35">
      <c r="A354" s="264"/>
      <c r="B354" s="268"/>
      <c r="C354" s="268"/>
      <c r="D354" s="50" t="s">
        <v>17</v>
      </c>
      <c r="E354" s="50" t="s">
        <v>34</v>
      </c>
      <c r="F354" s="71" t="s">
        <v>36</v>
      </c>
      <c r="G354" s="27" t="s">
        <v>55</v>
      </c>
      <c r="H354" s="27">
        <v>1</v>
      </c>
      <c r="I354" s="45">
        <v>5500</v>
      </c>
      <c r="J354" s="45">
        <v>5500</v>
      </c>
      <c r="K354" s="45">
        <v>0</v>
      </c>
      <c r="L354" s="45"/>
      <c r="M354" s="45"/>
      <c r="N354" s="45"/>
      <c r="O354" s="45"/>
      <c r="P354" s="45">
        <v>0</v>
      </c>
      <c r="Q354" s="45"/>
      <c r="R354" s="45">
        <v>5500</v>
      </c>
      <c r="S354" s="61">
        <v>0</v>
      </c>
      <c r="T354" s="61"/>
      <c r="U354" s="61"/>
      <c r="V354" s="62"/>
      <c r="W354" s="31">
        <f t="shared" si="52"/>
        <v>0</v>
      </c>
      <c r="X354" s="76" t="e">
        <f>#REF!-W354</f>
        <v>#REF!</v>
      </c>
      <c r="Y354" s="76"/>
      <c r="Z354" s="33">
        <f t="shared" si="53"/>
        <v>0</v>
      </c>
      <c r="AA354" s="33">
        <f t="shared" si="54"/>
        <v>5500</v>
      </c>
      <c r="AB354" s="261"/>
      <c r="AC354" s="261"/>
      <c r="AD354" s="261"/>
      <c r="AE354" s="261"/>
      <c r="AF354" s="34" t="s">
        <v>434</v>
      </c>
    </row>
    <row r="355" spans="1:32" ht="15" customHeight="1" x14ac:dyDescent="0.35">
      <c r="A355" s="264"/>
      <c r="B355" s="268"/>
      <c r="C355" s="268"/>
      <c r="D355" s="50" t="s">
        <v>17</v>
      </c>
      <c r="E355" s="50" t="s">
        <v>34</v>
      </c>
      <c r="F355" s="71" t="s">
        <v>69</v>
      </c>
      <c r="G355" s="27" t="s">
        <v>55</v>
      </c>
      <c r="H355" s="27">
        <v>18</v>
      </c>
      <c r="I355" s="45">
        <v>2200</v>
      </c>
      <c r="J355" s="45">
        <v>39600</v>
      </c>
      <c r="K355" s="45">
        <v>0</v>
      </c>
      <c r="L355" s="45"/>
      <c r="M355" s="45"/>
      <c r="N355" s="45"/>
      <c r="O355" s="45"/>
      <c r="P355" s="45">
        <v>0</v>
      </c>
      <c r="Q355" s="45"/>
      <c r="R355" s="45">
        <v>39600</v>
      </c>
      <c r="S355" s="61">
        <v>19800</v>
      </c>
      <c r="T355" s="61"/>
      <c r="U355" s="61">
        <v>19800</v>
      </c>
      <c r="V355" s="62"/>
      <c r="W355" s="31">
        <f t="shared" si="52"/>
        <v>39600</v>
      </c>
      <c r="X355" s="76" t="e">
        <f>#REF!-W355</f>
        <v>#REF!</v>
      </c>
      <c r="Y355" s="76"/>
      <c r="Z355" s="33">
        <f t="shared" si="53"/>
        <v>0</v>
      </c>
      <c r="AA355" s="33">
        <f t="shared" si="54"/>
        <v>0</v>
      </c>
      <c r="AB355" s="261"/>
      <c r="AC355" s="261"/>
      <c r="AD355" s="261"/>
      <c r="AE355" s="261"/>
      <c r="AF355" s="34" t="s">
        <v>435</v>
      </c>
    </row>
    <row r="356" spans="1:32" ht="15" customHeight="1" x14ac:dyDescent="0.35">
      <c r="A356" s="264"/>
      <c r="B356" s="268"/>
      <c r="C356" s="268"/>
      <c r="D356" s="50" t="s">
        <v>17</v>
      </c>
      <c r="E356" s="50" t="s">
        <v>161</v>
      </c>
      <c r="F356" s="71" t="s">
        <v>36</v>
      </c>
      <c r="G356" s="27" t="s">
        <v>55</v>
      </c>
      <c r="H356" s="27">
        <v>10</v>
      </c>
      <c r="I356" s="45">
        <v>3200</v>
      </c>
      <c r="J356" s="45">
        <v>32000</v>
      </c>
      <c r="K356" s="45">
        <v>0</v>
      </c>
      <c r="L356" s="45"/>
      <c r="M356" s="45"/>
      <c r="N356" s="45"/>
      <c r="O356" s="45"/>
      <c r="P356" s="45">
        <v>0</v>
      </c>
      <c r="Q356" s="45"/>
      <c r="R356" s="45">
        <v>32000</v>
      </c>
      <c r="S356" s="61">
        <v>0</v>
      </c>
      <c r="T356" s="61"/>
      <c r="U356" s="61">
        <v>4000</v>
      </c>
      <c r="V356" s="62"/>
      <c r="W356" s="31">
        <f t="shared" si="52"/>
        <v>4000</v>
      </c>
      <c r="X356" s="76" t="e">
        <f>#REF!-W356</f>
        <v>#REF!</v>
      </c>
      <c r="Y356" s="76"/>
      <c r="Z356" s="33">
        <f t="shared" si="53"/>
        <v>0</v>
      </c>
      <c r="AA356" s="33">
        <f t="shared" si="54"/>
        <v>28000</v>
      </c>
      <c r="AB356" s="261"/>
      <c r="AC356" s="261"/>
      <c r="AD356" s="261"/>
      <c r="AE356" s="261"/>
      <c r="AF356" s="34" t="s">
        <v>436</v>
      </c>
    </row>
    <row r="357" spans="1:32" ht="15" customHeight="1" x14ac:dyDescent="0.35">
      <c r="A357" s="264"/>
      <c r="B357" s="268"/>
      <c r="C357" s="268"/>
      <c r="D357" s="50" t="s">
        <v>17</v>
      </c>
      <c r="E357" s="50" t="s">
        <v>34</v>
      </c>
      <c r="F357" s="71" t="s">
        <v>39</v>
      </c>
      <c r="G357" s="27" t="s">
        <v>257</v>
      </c>
      <c r="H357" s="27">
        <v>18</v>
      </c>
      <c r="I357" s="45">
        <v>1500</v>
      </c>
      <c r="J357" s="45">
        <v>4500</v>
      </c>
      <c r="K357" s="45">
        <v>0</v>
      </c>
      <c r="L357" s="45"/>
      <c r="M357" s="45"/>
      <c r="N357" s="45"/>
      <c r="O357" s="45"/>
      <c r="P357" s="45">
        <v>0</v>
      </c>
      <c r="Q357" s="45"/>
      <c r="R357" s="45">
        <v>4500</v>
      </c>
      <c r="S357" s="61">
        <v>2000</v>
      </c>
      <c r="T357" s="61"/>
      <c r="U357" s="61">
        <v>2500</v>
      </c>
      <c r="V357" s="62"/>
      <c r="W357" s="31">
        <f t="shared" si="52"/>
        <v>4500</v>
      </c>
      <c r="X357" s="76" t="e">
        <f>#REF!-W357</f>
        <v>#REF!</v>
      </c>
      <c r="Y357" s="76"/>
      <c r="Z357" s="33">
        <f t="shared" si="53"/>
        <v>0</v>
      </c>
      <c r="AA357" s="33">
        <f t="shared" si="54"/>
        <v>0</v>
      </c>
      <c r="AB357" s="261"/>
      <c r="AC357" s="261"/>
      <c r="AD357" s="261"/>
      <c r="AE357" s="261"/>
      <c r="AF357" s="34" t="s">
        <v>437</v>
      </c>
    </row>
    <row r="358" spans="1:32" ht="15" customHeight="1" x14ac:dyDescent="0.35">
      <c r="A358" s="264"/>
      <c r="B358" s="268"/>
      <c r="C358" s="268"/>
      <c r="D358" s="50" t="s">
        <v>17</v>
      </c>
      <c r="E358" s="50" t="s">
        <v>161</v>
      </c>
      <c r="F358" s="71" t="s">
        <v>438</v>
      </c>
      <c r="G358" s="27" t="s">
        <v>439</v>
      </c>
      <c r="H358" s="27">
        <v>1</v>
      </c>
      <c r="I358" s="45">
        <v>0</v>
      </c>
      <c r="J358" s="45">
        <v>0</v>
      </c>
      <c r="K358" s="45">
        <v>0</v>
      </c>
      <c r="L358" s="45"/>
      <c r="M358" s="45"/>
      <c r="N358" s="45"/>
      <c r="O358" s="45"/>
      <c r="P358" s="45"/>
      <c r="Q358" s="45"/>
      <c r="R358" s="45">
        <v>0</v>
      </c>
      <c r="S358" s="61">
        <v>71500</v>
      </c>
      <c r="T358" s="61"/>
      <c r="U358" s="61">
        <v>0</v>
      </c>
      <c r="V358" s="62"/>
      <c r="W358" s="31">
        <f t="shared" si="52"/>
        <v>71500</v>
      </c>
      <c r="X358" s="76" t="e">
        <f>#REF!-W358</f>
        <v>#REF!</v>
      </c>
      <c r="Y358" s="76"/>
      <c r="Z358" s="33">
        <f t="shared" si="53"/>
        <v>0</v>
      </c>
      <c r="AA358" s="33">
        <f t="shared" si="54"/>
        <v>-71500</v>
      </c>
      <c r="AB358" s="262"/>
      <c r="AC358" s="262"/>
      <c r="AD358" s="261"/>
      <c r="AE358" s="261"/>
      <c r="AF358" s="34" t="s">
        <v>440</v>
      </c>
    </row>
    <row r="359" spans="1:32" ht="15" customHeight="1" x14ac:dyDescent="0.35">
      <c r="A359" s="264"/>
      <c r="B359" s="268"/>
      <c r="C359" s="53"/>
      <c r="D359" s="53"/>
      <c r="E359" s="53"/>
      <c r="F359" s="74"/>
      <c r="G359" s="41"/>
      <c r="H359" s="41"/>
      <c r="I359" s="54"/>
      <c r="J359" s="54">
        <f>SUM(J350:J358)</f>
        <v>161100</v>
      </c>
      <c r="K359" s="54">
        <f t="shared" ref="K359:AC359" si="56">SUM(K350:K358)</f>
        <v>56000</v>
      </c>
      <c r="L359" s="54">
        <f t="shared" si="56"/>
        <v>0</v>
      </c>
      <c r="M359" s="54">
        <f t="shared" si="56"/>
        <v>0</v>
      </c>
      <c r="N359" s="54">
        <f t="shared" si="56"/>
        <v>0</v>
      </c>
      <c r="O359" s="54">
        <f t="shared" si="56"/>
        <v>0</v>
      </c>
      <c r="P359" s="54">
        <f t="shared" si="56"/>
        <v>0</v>
      </c>
      <c r="Q359" s="54">
        <f t="shared" si="56"/>
        <v>0</v>
      </c>
      <c r="R359" s="54">
        <f t="shared" si="56"/>
        <v>161100</v>
      </c>
      <c r="S359" s="54">
        <f t="shared" si="56"/>
        <v>134800</v>
      </c>
      <c r="T359" s="54">
        <f t="shared" si="56"/>
        <v>28000</v>
      </c>
      <c r="U359" s="54">
        <f t="shared" si="56"/>
        <v>26300</v>
      </c>
      <c r="V359" s="54">
        <f t="shared" si="56"/>
        <v>28000</v>
      </c>
      <c r="W359" s="54">
        <f t="shared" si="56"/>
        <v>161100</v>
      </c>
      <c r="X359" s="54" t="e">
        <f t="shared" si="56"/>
        <v>#REF!</v>
      </c>
      <c r="Y359" s="54">
        <f t="shared" si="56"/>
        <v>0</v>
      </c>
      <c r="Z359" s="54">
        <f t="shared" si="56"/>
        <v>56000</v>
      </c>
      <c r="AA359" s="54">
        <f t="shared" si="56"/>
        <v>0</v>
      </c>
      <c r="AB359" s="54">
        <f t="shared" si="56"/>
        <v>161100</v>
      </c>
      <c r="AC359" s="54">
        <f t="shared" si="56"/>
        <v>56000</v>
      </c>
      <c r="AD359" s="261"/>
      <c r="AE359" s="261"/>
      <c r="AF359" s="49"/>
    </row>
    <row r="360" spans="1:32" ht="15" customHeight="1" x14ac:dyDescent="0.35">
      <c r="A360" s="264"/>
      <c r="B360" s="268"/>
      <c r="C360" s="271" t="s">
        <v>441</v>
      </c>
      <c r="D360" s="25" t="s">
        <v>17</v>
      </c>
      <c r="E360" s="50" t="s">
        <v>27</v>
      </c>
      <c r="F360" s="55" t="s">
        <v>28</v>
      </c>
      <c r="G360" s="27" t="s">
        <v>173</v>
      </c>
      <c r="H360" s="27">
        <v>12</v>
      </c>
      <c r="I360" s="45">
        <f>28750/12</f>
        <v>2395.8333333333335</v>
      </c>
      <c r="J360" s="45">
        <v>28750</v>
      </c>
      <c r="K360" s="45">
        <v>0</v>
      </c>
      <c r="L360" s="45"/>
      <c r="M360" s="45"/>
      <c r="N360" s="45"/>
      <c r="O360" s="45"/>
      <c r="P360" s="45">
        <v>0</v>
      </c>
      <c r="Q360" s="45"/>
      <c r="R360" s="45">
        <v>28750</v>
      </c>
      <c r="S360" s="222">
        <v>28750</v>
      </c>
      <c r="T360" s="58"/>
      <c r="U360" s="58">
        <v>0</v>
      </c>
      <c r="V360" s="59"/>
      <c r="W360" s="31">
        <f t="shared" si="52"/>
        <v>28750</v>
      </c>
      <c r="X360" s="60" t="e">
        <f>#REF!-W360</f>
        <v>#REF!</v>
      </c>
      <c r="Y360" s="60"/>
      <c r="Z360" s="33">
        <f t="shared" si="53"/>
        <v>0</v>
      </c>
      <c r="AA360" s="33">
        <f t="shared" si="54"/>
        <v>0</v>
      </c>
      <c r="AB360" s="260">
        <f>SUM(W360:W363)</f>
        <v>35750</v>
      </c>
      <c r="AC360" s="260">
        <f>SUM(Z360:Z363)</f>
        <v>6524.3</v>
      </c>
      <c r="AD360" s="261"/>
      <c r="AE360" s="261"/>
      <c r="AF360" s="34" t="s">
        <v>442</v>
      </c>
    </row>
    <row r="361" spans="1:32" ht="15" customHeight="1" x14ac:dyDescent="0.35">
      <c r="A361" s="264"/>
      <c r="B361" s="268"/>
      <c r="C361" s="271"/>
      <c r="D361" s="25" t="s">
        <v>27</v>
      </c>
      <c r="E361" s="50" t="s">
        <v>27</v>
      </c>
      <c r="F361" s="55" t="s">
        <v>28</v>
      </c>
      <c r="G361" s="27" t="s">
        <v>173</v>
      </c>
      <c r="H361" s="27">
        <v>12</v>
      </c>
      <c r="I361" s="45">
        <f>6400/12</f>
        <v>533.33333333333337</v>
      </c>
      <c r="J361" s="45">
        <v>0</v>
      </c>
      <c r="K361" s="45">
        <v>6400</v>
      </c>
      <c r="L361" s="45"/>
      <c r="M361" s="45"/>
      <c r="N361" s="45"/>
      <c r="O361" s="45">
        <v>4524.3</v>
      </c>
      <c r="P361" s="45">
        <v>0</v>
      </c>
      <c r="Q361" s="45"/>
      <c r="R361" s="45">
        <v>0</v>
      </c>
      <c r="S361" s="222">
        <v>0</v>
      </c>
      <c r="T361" s="58"/>
      <c r="U361" s="58">
        <v>0</v>
      </c>
      <c r="V361" s="59"/>
      <c r="W361" s="31">
        <f t="shared" si="52"/>
        <v>0</v>
      </c>
      <c r="X361" s="60" t="e">
        <f>#REF!-W361</f>
        <v>#REF!</v>
      </c>
      <c r="Y361" s="60"/>
      <c r="Z361" s="33">
        <f t="shared" si="53"/>
        <v>4524.3</v>
      </c>
      <c r="AA361" s="33">
        <f t="shared" si="54"/>
        <v>0</v>
      </c>
      <c r="AB361" s="261"/>
      <c r="AC361" s="261"/>
      <c r="AD361" s="261"/>
      <c r="AE361" s="261"/>
      <c r="AF361" s="34" t="s">
        <v>443</v>
      </c>
    </row>
    <row r="362" spans="1:32" ht="19" customHeight="1" x14ac:dyDescent="0.35">
      <c r="A362" s="264"/>
      <c r="B362" s="268"/>
      <c r="C362" s="271"/>
      <c r="D362" s="25" t="s">
        <v>33</v>
      </c>
      <c r="E362" s="50" t="s">
        <v>34</v>
      </c>
      <c r="F362" s="55" t="s">
        <v>28</v>
      </c>
      <c r="G362" s="27" t="s">
        <v>173</v>
      </c>
      <c r="H362" s="27">
        <v>1</v>
      </c>
      <c r="I362" s="45">
        <v>2000</v>
      </c>
      <c r="J362" s="45">
        <v>0</v>
      </c>
      <c r="K362" s="45">
        <v>2000</v>
      </c>
      <c r="L362" s="45"/>
      <c r="M362" s="45"/>
      <c r="N362" s="45"/>
      <c r="O362" s="45"/>
      <c r="P362" s="45">
        <v>0</v>
      </c>
      <c r="Q362" s="45"/>
      <c r="R362" s="45">
        <v>0</v>
      </c>
      <c r="S362" s="58">
        <v>0</v>
      </c>
      <c r="T362" s="58">
        <v>2000</v>
      </c>
      <c r="U362" s="58">
        <v>0</v>
      </c>
      <c r="V362" s="59"/>
      <c r="W362" s="31">
        <f t="shared" si="52"/>
        <v>0</v>
      </c>
      <c r="X362" s="60" t="e">
        <f>#REF!-W362</f>
        <v>#REF!</v>
      </c>
      <c r="Y362" s="60"/>
      <c r="Z362" s="33">
        <f t="shared" si="53"/>
        <v>2000</v>
      </c>
      <c r="AA362" s="33">
        <f t="shared" si="54"/>
        <v>0</v>
      </c>
      <c r="AB362" s="261"/>
      <c r="AC362" s="261"/>
      <c r="AD362" s="261"/>
      <c r="AE362" s="261"/>
      <c r="AF362" s="34" t="s">
        <v>444</v>
      </c>
    </row>
    <row r="363" spans="1:32" ht="21" customHeight="1" x14ac:dyDescent="0.35">
      <c r="A363" s="264"/>
      <c r="B363" s="268"/>
      <c r="C363" s="271"/>
      <c r="D363" s="25" t="s">
        <v>17</v>
      </c>
      <c r="E363" s="50" t="s">
        <v>27</v>
      </c>
      <c r="F363" s="55" t="s">
        <v>36</v>
      </c>
      <c r="G363" s="27" t="s">
        <v>55</v>
      </c>
      <c r="H363" s="27">
        <v>2</v>
      </c>
      <c r="I363" s="45">
        <v>3500</v>
      </c>
      <c r="J363" s="45">
        <v>7000</v>
      </c>
      <c r="K363" s="45">
        <v>0</v>
      </c>
      <c r="L363" s="45"/>
      <c r="M363" s="45"/>
      <c r="N363" s="45"/>
      <c r="O363" s="45"/>
      <c r="P363" s="45">
        <v>0</v>
      </c>
      <c r="Q363" s="45"/>
      <c r="R363" s="45">
        <v>7000</v>
      </c>
      <c r="S363" s="222">
        <v>7000</v>
      </c>
      <c r="T363" s="58"/>
      <c r="U363" s="58">
        <v>0</v>
      </c>
      <c r="V363" s="59"/>
      <c r="W363" s="31">
        <f t="shared" si="52"/>
        <v>7000</v>
      </c>
      <c r="X363" s="60" t="e">
        <f>#REF!-W363</f>
        <v>#REF!</v>
      </c>
      <c r="Y363" s="60"/>
      <c r="Z363" s="33">
        <f t="shared" si="53"/>
        <v>0</v>
      </c>
      <c r="AA363" s="33">
        <f t="shared" si="54"/>
        <v>0</v>
      </c>
      <c r="AB363" s="262"/>
      <c r="AC363" s="262"/>
      <c r="AD363" s="261"/>
      <c r="AE363" s="261"/>
      <c r="AF363" s="34" t="s">
        <v>445</v>
      </c>
    </row>
    <row r="364" spans="1:32" ht="15" customHeight="1" x14ac:dyDescent="0.35">
      <c r="A364" s="264"/>
      <c r="B364" s="50"/>
      <c r="C364" s="80"/>
      <c r="D364" s="39"/>
      <c r="E364" s="53"/>
      <c r="F364" s="57"/>
      <c r="G364" s="41"/>
      <c r="H364" s="41"/>
      <c r="I364" s="54"/>
      <c r="J364" s="54">
        <f>SUM(J360:J363)</f>
        <v>35750</v>
      </c>
      <c r="K364" s="54">
        <f t="shared" ref="K364:AC364" si="57">SUM(K360:K363)</f>
        <v>8400</v>
      </c>
      <c r="L364" s="54">
        <f t="shared" si="57"/>
        <v>0</v>
      </c>
      <c r="M364" s="54">
        <f t="shared" si="57"/>
        <v>0</v>
      </c>
      <c r="N364" s="54">
        <f t="shared" si="57"/>
        <v>0</v>
      </c>
      <c r="O364" s="54">
        <f t="shared" si="57"/>
        <v>4524.3</v>
      </c>
      <c r="P364" s="54">
        <f t="shared" si="57"/>
        <v>0</v>
      </c>
      <c r="Q364" s="54">
        <f t="shared" si="57"/>
        <v>0</v>
      </c>
      <c r="R364" s="54">
        <f t="shared" si="57"/>
        <v>35750</v>
      </c>
      <c r="S364" s="54">
        <f t="shared" si="57"/>
        <v>35750</v>
      </c>
      <c r="T364" s="54">
        <f t="shared" si="57"/>
        <v>2000</v>
      </c>
      <c r="U364" s="54">
        <f t="shared" si="57"/>
        <v>0</v>
      </c>
      <c r="V364" s="54">
        <f t="shared" si="57"/>
        <v>0</v>
      </c>
      <c r="W364" s="54">
        <f t="shared" si="57"/>
        <v>35750</v>
      </c>
      <c r="X364" s="54" t="e">
        <f t="shared" si="57"/>
        <v>#REF!</v>
      </c>
      <c r="Y364" s="54">
        <f t="shared" si="57"/>
        <v>0</v>
      </c>
      <c r="Z364" s="54">
        <f t="shared" si="57"/>
        <v>6524.3</v>
      </c>
      <c r="AA364" s="54">
        <f t="shared" si="57"/>
        <v>0</v>
      </c>
      <c r="AB364" s="54">
        <f t="shared" si="57"/>
        <v>35750</v>
      </c>
      <c r="AC364" s="54">
        <f t="shared" si="57"/>
        <v>6524.3</v>
      </c>
      <c r="AD364" s="261"/>
      <c r="AE364" s="261"/>
      <c r="AF364" s="49"/>
    </row>
    <row r="365" spans="1:32" ht="15" customHeight="1" x14ac:dyDescent="0.35">
      <c r="A365" s="264"/>
      <c r="B365" s="268" t="s">
        <v>446</v>
      </c>
      <c r="C365" s="269" t="s">
        <v>447</v>
      </c>
      <c r="D365" s="50" t="s">
        <v>17</v>
      </c>
      <c r="E365" s="50" t="s">
        <v>161</v>
      </c>
      <c r="F365" s="71" t="s">
        <v>57</v>
      </c>
      <c r="G365" s="27" t="s">
        <v>29</v>
      </c>
      <c r="H365" s="27">
        <v>48</v>
      </c>
      <c r="I365" s="45">
        <v>8000</v>
      </c>
      <c r="J365" s="45">
        <v>483935</v>
      </c>
      <c r="K365" s="45">
        <v>0</v>
      </c>
      <c r="L365" s="45"/>
      <c r="M365" s="45"/>
      <c r="N365" s="45"/>
      <c r="O365" s="45"/>
      <c r="P365" s="45">
        <v>0</v>
      </c>
      <c r="Q365" s="45"/>
      <c r="R365" s="45">
        <v>483935</v>
      </c>
      <c r="S365" s="61">
        <v>89000</v>
      </c>
      <c r="T365" s="61"/>
      <c r="U365" s="61">
        <v>89000</v>
      </c>
      <c r="V365" s="62"/>
      <c r="W365" s="31">
        <f t="shared" si="52"/>
        <v>178000</v>
      </c>
      <c r="X365" s="76" t="e">
        <f>#REF!-W365</f>
        <v>#REF!</v>
      </c>
      <c r="Y365" s="76"/>
      <c r="Z365" s="33">
        <f t="shared" si="53"/>
        <v>0</v>
      </c>
      <c r="AA365" s="33">
        <f t="shared" si="54"/>
        <v>305935</v>
      </c>
      <c r="AB365" s="260">
        <f>SUM(W365:W376)</f>
        <v>1081050</v>
      </c>
      <c r="AC365" s="260">
        <f>SUM(Z365:Z376)</f>
        <v>0</v>
      </c>
      <c r="AD365" s="261"/>
      <c r="AE365" s="261"/>
      <c r="AF365" s="34" t="s">
        <v>448</v>
      </c>
    </row>
    <row r="366" spans="1:32" ht="15" customHeight="1" x14ac:dyDescent="0.35">
      <c r="A366" s="264"/>
      <c r="B366" s="268"/>
      <c r="C366" s="270"/>
      <c r="D366" s="50" t="s">
        <v>17</v>
      </c>
      <c r="E366" s="50" t="s">
        <v>161</v>
      </c>
      <c r="F366" s="71" t="s">
        <v>120</v>
      </c>
      <c r="G366" s="27" t="s">
        <v>58</v>
      </c>
      <c r="H366" s="27">
        <v>120</v>
      </c>
      <c r="I366" s="45">
        <v>600</v>
      </c>
      <c r="J366" s="45">
        <v>72000</v>
      </c>
      <c r="K366" s="45">
        <v>0</v>
      </c>
      <c r="L366" s="45"/>
      <c r="M366" s="45"/>
      <c r="N366" s="45"/>
      <c r="O366" s="45"/>
      <c r="P366" s="45">
        <v>0</v>
      </c>
      <c r="Q366" s="45"/>
      <c r="R366" s="45">
        <v>72000</v>
      </c>
      <c r="S366" s="61">
        <v>13000</v>
      </c>
      <c r="T366" s="61"/>
      <c r="U366" s="61">
        <v>33500</v>
      </c>
      <c r="V366" s="62"/>
      <c r="W366" s="31">
        <f t="shared" si="52"/>
        <v>46500</v>
      </c>
      <c r="X366" s="76" t="e">
        <f>#REF!-W366</f>
        <v>#REF!</v>
      </c>
      <c r="Y366" s="76"/>
      <c r="Z366" s="33">
        <f t="shared" si="53"/>
        <v>0</v>
      </c>
      <c r="AA366" s="33">
        <f t="shared" si="54"/>
        <v>25500</v>
      </c>
      <c r="AB366" s="261"/>
      <c r="AC366" s="261"/>
      <c r="AD366" s="261"/>
      <c r="AE366" s="261"/>
      <c r="AF366" s="34" t="s">
        <v>449</v>
      </c>
    </row>
    <row r="367" spans="1:32" ht="15" customHeight="1" x14ac:dyDescent="0.35">
      <c r="A367" s="264"/>
      <c r="B367" s="268"/>
      <c r="C367" s="270"/>
      <c r="D367" s="50" t="s">
        <v>17</v>
      </c>
      <c r="E367" s="50" t="s">
        <v>161</v>
      </c>
      <c r="F367" s="71" t="s">
        <v>36</v>
      </c>
      <c r="G367" s="27" t="s">
        <v>55</v>
      </c>
      <c r="H367" s="27">
        <v>3</v>
      </c>
      <c r="I367" s="45">
        <v>3750</v>
      </c>
      <c r="J367" s="45">
        <v>11250</v>
      </c>
      <c r="K367" s="45">
        <v>0</v>
      </c>
      <c r="L367" s="45"/>
      <c r="M367" s="45"/>
      <c r="N367" s="45"/>
      <c r="O367" s="45"/>
      <c r="P367" s="45">
        <v>0</v>
      </c>
      <c r="Q367" s="45"/>
      <c r="R367" s="45">
        <v>11250</v>
      </c>
      <c r="S367" s="61">
        <v>0</v>
      </c>
      <c r="T367" s="61"/>
      <c r="U367" s="61">
        <v>0</v>
      </c>
      <c r="V367" s="62"/>
      <c r="W367" s="31">
        <f t="shared" si="52"/>
        <v>0</v>
      </c>
      <c r="X367" s="76" t="e">
        <f>#REF!-W367</f>
        <v>#REF!</v>
      </c>
      <c r="Y367" s="76"/>
      <c r="Z367" s="33">
        <f t="shared" si="53"/>
        <v>0</v>
      </c>
      <c r="AA367" s="33">
        <f t="shared" si="54"/>
        <v>11250</v>
      </c>
      <c r="AB367" s="261"/>
      <c r="AC367" s="261"/>
      <c r="AD367" s="261"/>
      <c r="AE367" s="261"/>
      <c r="AF367" s="34" t="s">
        <v>450</v>
      </c>
    </row>
    <row r="368" spans="1:32" ht="15" customHeight="1" x14ac:dyDescent="0.35">
      <c r="A368" s="264"/>
      <c r="B368" s="268"/>
      <c r="C368" s="270"/>
      <c r="D368" s="50" t="s">
        <v>17</v>
      </c>
      <c r="E368" s="50" t="s">
        <v>161</v>
      </c>
      <c r="F368" s="71" t="s">
        <v>36</v>
      </c>
      <c r="G368" s="27" t="s">
        <v>55</v>
      </c>
      <c r="H368" s="27">
        <v>4</v>
      </c>
      <c r="I368" s="45">
        <v>5860</v>
      </c>
      <c r="J368" s="45">
        <v>18190</v>
      </c>
      <c r="K368" s="45">
        <v>0</v>
      </c>
      <c r="L368" s="45"/>
      <c r="M368" s="45"/>
      <c r="N368" s="45"/>
      <c r="O368" s="45"/>
      <c r="P368" s="45">
        <v>0</v>
      </c>
      <c r="Q368" s="45"/>
      <c r="R368" s="45">
        <v>18190</v>
      </c>
      <c r="S368" s="61">
        <v>0</v>
      </c>
      <c r="T368" s="61"/>
      <c r="U368" s="61">
        <v>0</v>
      </c>
      <c r="V368" s="62"/>
      <c r="W368" s="31">
        <f t="shared" si="52"/>
        <v>0</v>
      </c>
      <c r="X368" s="76" t="e">
        <f>#REF!-W368</f>
        <v>#REF!</v>
      </c>
      <c r="Y368" s="76"/>
      <c r="Z368" s="33">
        <f t="shared" si="53"/>
        <v>0</v>
      </c>
      <c r="AA368" s="33">
        <f t="shared" si="54"/>
        <v>18190</v>
      </c>
      <c r="AB368" s="261"/>
      <c r="AC368" s="261"/>
      <c r="AD368" s="261"/>
      <c r="AE368" s="261"/>
      <c r="AF368" s="34" t="s">
        <v>451</v>
      </c>
    </row>
    <row r="369" spans="1:32" ht="15" customHeight="1" x14ac:dyDescent="0.35">
      <c r="A369" s="264"/>
      <c r="B369" s="268"/>
      <c r="C369" s="270"/>
      <c r="D369" s="50" t="s">
        <v>17</v>
      </c>
      <c r="E369" s="50" t="s">
        <v>161</v>
      </c>
      <c r="F369" s="71" t="s">
        <v>69</v>
      </c>
      <c r="G369" s="27" t="s">
        <v>55</v>
      </c>
      <c r="H369" s="27">
        <v>20</v>
      </c>
      <c r="I369" s="45">
        <v>1100</v>
      </c>
      <c r="J369" s="45">
        <v>22000</v>
      </c>
      <c r="K369" s="45">
        <v>0</v>
      </c>
      <c r="L369" s="45"/>
      <c r="M369" s="45"/>
      <c r="N369" s="45"/>
      <c r="O369" s="45"/>
      <c r="P369" s="45">
        <v>0</v>
      </c>
      <c r="Q369" s="45"/>
      <c r="R369" s="45">
        <v>22000</v>
      </c>
      <c r="S369" s="61">
        <v>7000</v>
      </c>
      <c r="T369" s="61"/>
      <c r="U369" s="61">
        <v>38000</v>
      </c>
      <c r="V369" s="62"/>
      <c r="W369" s="31">
        <f t="shared" si="52"/>
        <v>45000</v>
      </c>
      <c r="X369" s="76" t="e">
        <f>#REF!-W369</f>
        <v>#REF!</v>
      </c>
      <c r="Y369" s="76"/>
      <c r="Z369" s="33">
        <f t="shared" si="53"/>
        <v>0</v>
      </c>
      <c r="AA369" s="33">
        <f t="shared" si="54"/>
        <v>-23000</v>
      </c>
      <c r="AB369" s="261"/>
      <c r="AC369" s="261"/>
      <c r="AD369" s="261"/>
      <c r="AE369" s="261"/>
      <c r="AF369" s="34" t="s">
        <v>452</v>
      </c>
    </row>
    <row r="370" spans="1:32" ht="15" customHeight="1" x14ac:dyDescent="0.35">
      <c r="A370" s="264"/>
      <c r="B370" s="268"/>
      <c r="C370" s="270"/>
      <c r="D370" s="50" t="s">
        <v>17</v>
      </c>
      <c r="E370" s="50" t="s">
        <v>161</v>
      </c>
      <c r="F370" s="71" t="s">
        <v>118</v>
      </c>
      <c r="G370" s="27" t="s">
        <v>86</v>
      </c>
      <c r="H370" s="27">
        <v>1</v>
      </c>
      <c r="I370" s="45">
        <v>350000</v>
      </c>
      <c r="J370" s="45">
        <v>220000</v>
      </c>
      <c r="K370" s="45">
        <v>0</v>
      </c>
      <c r="L370" s="45"/>
      <c r="M370" s="45"/>
      <c r="N370" s="45"/>
      <c r="O370" s="45"/>
      <c r="P370" s="45">
        <v>0</v>
      </c>
      <c r="Q370" s="45"/>
      <c r="R370" s="45">
        <v>220000</v>
      </c>
      <c r="S370" s="61">
        <v>0</v>
      </c>
      <c r="T370" s="61"/>
      <c r="U370" s="61">
        <v>395000</v>
      </c>
      <c r="V370" s="62"/>
      <c r="W370" s="31">
        <f t="shared" si="52"/>
        <v>395000</v>
      </c>
      <c r="X370" s="76" t="e">
        <f>#REF!-W370</f>
        <v>#REF!</v>
      </c>
      <c r="Y370" s="76"/>
      <c r="Z370" s="33">
        <f t="shared" si="53"/>
        <v>0</v>
      </c>
      <c r="AA370" s="33">
        <f t="shared" si="54"/>
        <v>-175000</v>
      </c>
      <c r="AB370" s="261"/>
      <c r="AC370" s="261"/>
      <c r="AD370" s="261"/>
      <c r="AE370" s="261"/>
      <c r="AF370" s="34" t="s">
        <v>453</v>
      </c>
    </row>
    <row r="371" spans="1:32" ht="15" customHeight="1" x14ac:dyDescent="0.35">
      <c r="A371" s="264"/>
      <c r="B371" s="268"/>
      <c r="C371" s="270"/>
      <c r="D371" s="50" t="s">
        <v>17</v>
      </c>
      <c r="E371" s="50" t="s">
        <v>161</v>
      </c>
      <c r="F371" s="71" t="s">
        <v>132</v>
      </c>
      <c r="G371" s="27" t="s">
        <v>86</v>
      </c>
      <c r="H371" s="27">
        <v>1</v>
      </c>
      <c r="I371" s="45">
        <v>210000</v>
      </c>
      <c r="J371" s="45">
        <v>191975</v>
      </c>
      <c r="K371" s="45">
        <v>0</v>
      </c>
      <c r="L371" s="45">
        <v>216.45</v>
      </c>
      <c r="M371" s="45"/>
      <c r="N371" s="45">
        <v>0</v>
      </c>
      <c r="O371" s="45"/>
      <c r="P371" s="45">
        <v>1835.78</v>
      </c>
      <c r="Q371" s="45"/>
      <c r="R371" s="45">
        <v>189922.77</v>
      </c>
      <c r="S371" s="61">
        <v>10000</v>
      </c>
      <c r="T371" s="61"/>
      <c r="U371" s="61">
        <v>358997</v>
      </c>
      <c r="V371" s="62"/>
      <c r="W371" s="31">
        <f t="shared" si="52"/>
        <v>371049.23</v>
      </c>
      <c r="X371" s="76" t="e">
        <f>#REF!-W371</f>
        <v>#REF!</v>
      </c>
      <c r="Y371" s="76"/>
      <c r="Z371" s="33">
        <f t="shared" si="53"/>
        <v>0</v>
      </c>
      <c r="AA371" s="33">
        <f t="shared" si="54"/>
        <v>-179074.22999999998</v>
      </c>
      <c r="AB371" s="261"/>
      <c r="AC371" s="261"/>
      <c r="AD371" s="261"/>
      <c r="AE371" s="261"/>
      <c r="AF371" s="34" t="s">
        <v>454</v>
      </c>
    </row>
    <row r="372" spans="1:32" ht="15" customHeight="1" x14ac:dyDescent="0.35">
      <c r="A372" s="264"/>
      <c r="B372" s="268"/>
      <c r="C372" s="270"/>
      <c r="D372" s="50" t="s">
        <v>17</v>
      </c>
      <c r="E372" s="50" t="s">
        <v>161</v>
      </c>
      <c r="F372" s="71" t="s">
        <v>53</v>
      </c>
      <c r="G372" s="27" t="s">
        <v>86</v>
      </c>
      <c r="H372" s="27">
        <v>10</v>
      </c>
      <c r="I372" s="45">
        <v>5000</v>
      </c>
      <c r="J372" s="45">
        <v>50000</v>
      </c>
      <c r="K372" s="45">
        <v>0</v>
      </c>
      <c r="L372" s="45"/>
      <c r="M372" s="45"/>
      <c r="N372" s="45"/>
      <c r="O372" s="45"/>
      <c r="P372" s="45">
        <v>0</v>
      </c>
      <c r="Q372" s="45"/>
      <c r="R372" s="45">
        <v>50000</v>
      </c>
      <c r="S372" s="61">
        <v>0</v>
      </c>
      <c r="T372" s="61"/>
      <c r="U372" s="61">
        <v>28000</v>
      </c>
      <c r="V372" s="62"/>
      <c r="W372" s="31">
        <f t="shared" si="52"/>
        <v>28000</v>
      </c>
      <c r="X372" s="76" t="e">
        <f>#REF!-W372</f>
        <v>#REF!</v>
      </c>
      <c r="Y372" s="76"/>
      <c r="Z372" s="33">
        <f t="shared" si="53"/>
        <v>0</v>
      </c>
      <c r="AA372" s="33">
        <f t="shared" si="54"/>
        <v>22000</v>
      </c>
      <c r="AB372" s="261"/>
      <c r="AC372" s="261"/>
      <c r="AD372" s="261"/>
      <c r="AE372" s="261"/>
      <c r="AF372" s="34" t="s">
        <v>455</v>
      </c>
    </row>
    <row r="373" spans="1:32" ht="15" customHeight="1" x14ac:dyDescent="0.35">
      <c r="A373" s="264"/>
      <c r="B373" s="268"/>
      <c r="C373" s="270"/>
      <c r="D373" s="50" t="s">
        <v>17</v>
      </c>
      <c r="E373" s="50" t="s">
        <v>161</v>
      </c>
      <c r="F373" s="71" t="s">
        <v>123</v>
      </c>
      <c r="G373" s="27" t="s">
        <v>86</v>
      </c>
      <c r="H373" s="27">
        <v>4</v>
      </c>
      <c r="I373" s="45">
        <v>2000</v>
      </c>
      <c r="J373" s="45">
        <v>8000</v>
      </c>
      <c r="K373" s="45">
        <v>0</v>
      </c>
      <c r="L373" s="45"/>
      <c r="M373" s="45"/>
      <c r="N373" s="45"/>
      <c r="O373" s="45"/>
      <c r="P373" s="45">
        <v>0</v>
      </c>
      <c r="Q373" s="45"/>
      <c r="R373" s="45">
        <v>8000</v>
      </c>
      <c r="S373" s="61">
        <v>0</v>
      </c>
      <c r="T373" s="61"/>
      <c r="U373" s="61">
        <v>1000</v>
      </c>
      <c r="V373" s="62"/>
      <c r="W373" s="31">
        <f t="shared" si="52"/>
        <v>1000</v>
      </c>
      <c r="X373" s="76" t="e">
        <f>#REF!-W373</f>
        <v>#REF!</v>
      </c>
      <c r="Y373" s="76"/>
      <c r="Z373" s="33">
        <f t="shared" si="53"/>
        <v>0</v>
      </c>
      <c r="AA373" s="33">
        <f t="shared" si="54"/>
        <v>7000</v>
      </c>
      <c r="AB373" s="261"/>
      <c r="AC373" s="261"/>
      <c r="AD373" s="261"/>
      <c r="AE373" s="261"/>
      <c r="AF373" s="34" t="s">
        <v>456</v>
      </c>
    </row>
    <row r="374" spans="1:32" ht="15" customHeight="1" x14ac:dyDescent="0.35">
      <c r="A374" s="264"/>
      <c r="B374" s="268"/>
      <c r="C374" s="270"/>
      <c r="D374" s="50" t="s">
        <v>17</v>
      </c>
      <c r="E374" s="50" t="s">
        <v>161</v>
      </c>
      <c r="F374" s="71" t="s">
        <v>61</v>
      </c>
      <c r="G374" s="27" t="s">
        <v>62</v>
      </c>
      <c r="H374" s="27">
        <v>1</v>
      </c>
      <c r="I374" s="45">
        <v>2500</v>
      </c>
      <c r="J374" s="45">
        <v>2500</v>
      </c>
      <c r="K374" s="45">
        <v>0</v>
      </c>
      <c r="L374" s="45"/>
      <c r="M374" s="45"/>
      <c r="N374" s="45"/>
      <c r="O374" s="45"/>
      <c r="P374" s="45">
        <v>0</v>
      </c>
      <c r="Q374" s="45"/>
      <c r="R374" s="45">
        <v>2500</v>
      </c>
      <c r="S374" s="61">
        <v>2500</v>
      </c>
      <c r="T374" s="61"/>
      <c r="U374" s="61"/>
      <c r="V374" s="62"/>
      <c r="W374" s="31">
        <f t="shared" si="52"/>
        <v>2500</v>
      </c>
      <c r="X374" s="76" t="e">
        <f>#REF!-W374</f>
        <v>#REF!</v>
      </c>
      <c r="Y374" s="76"/>
      <c r="Z374" s="33">
        <f t="shared" si="53"/>
        <v>0</v>
      </c>
      <c r="AA374" s="33">
        <f t="shared" si="54"/>
        <v>0</v>
      </c>
      <c r="AB374" s="261"/>
      <c r="AC374" s="261"/>
      <c r="AD374" s="261"/>
      <c r="AE374" s="261"/>
      <c r="AF374" s="34" t="s">
        <v>457</v>
      </c>
    </row>
    <row r="375" spans="1:32" ht="15" customHeight="1" x14ac:dyDescent="0.35">
      <c r="A375" s="264"/>
      <c r="B375" s="268"/>
      <c r="C375" s="270"/>
      <c r="D375" s="50" t="s">
        <v>17</v>
      </c>
      <c r="E375" s="50" t="s">
        <v>161</v>
      </c>
      <c r="F375" s="71" t="s">
        <v>66</v>
      </c>
      <c r="G375" s="27" t="s">
        <v>62</v>
      </c>
      <c r="H375" s="27">
        <v>4</v>
      </c>
      <c r="I375" s="45">
        <v>300</v>
      </c>
      <c r="J375" s="45">
        <v>1200</v>
      </c>
      <c r="K375" s="45">
        <v>0</v>
      </c>
      <c r="L375" s="45"/>
      <c r="M375" s="45"/>
      <c r="N375" s="45"/>
      <c r="O375" s="45"/>
      <c r="P375" s="45">
        <v>0</v>
      </c>
      <c r="Q375" s="45"/>
      <c r="R375" s="45">
        <v>1200</v>
      </c>
      <c r="S375" s="61">
        <v>600.77</v>
      </c>
      <c r="T375" s="61"/>
      <c r="U375" s="61">
        <v>10400</v>
      </c>
      <c r="V375" s="62"/>
      <c r="W375" s="31">
        <f t="shared" si="52"/>
        <v>11000.77</v>
      </c>
      <c r="X375" s="76" t="e">
        <f>#REF!-W375</f>
        <v>#REF!</v>
      </c>
      <c r="Y375" s="76"/>
      <c r="Z375" s="33">
        <f t="shared" si="53"/>
        <v>0</v>
      </c>
      <c r="AA375" s="33">
        <f t="shared" si="54"/>
        <v>-9800.77</v>
      </c>
      <c r="AB375" s="261"/>
      <c r="AC375" s="261"/>
      <c r="AD375" s="261"/>
      <c r="AE375" s="261"/>
      <c r="AF375" s="34" t="s">
        <v>458</v>
      </c>
    </row>
    <row r="376" spans="1:32" ht="15" customHeight="1" x14ac:dyDescent="0.35">
      <c r="A376" s="264"/>
      <c r="B376" s="50"/>
      <c r="C376" s="267"/>
      <c r="D376" s="180" t="s">
        <v>17</v>
      </c>
      <c r="E376" s="180" t="s">
        <v>161</v>
      </c>
      <c r="F376" s="190" t="s">
        <v>39</v>
      </c>
      <c r="G376" s="182"/>
      <c r="H376" s="182"/>
      <c r="I376" s="186"/>
      <c r="J376" s="186"/>
      <c r="K376" s="186"/>
      <c r="L376" s="186"/>
      <c r="M376" s="186"/>
      <c r="N376" s="186"/>
      <c r="O376" s="186"/>
      <c r="P376" s="186"/>
      <c r="Q376" s="186"/>
      <c r="R376" s="186"/>
      <c r="S376" s="184"/>
      <c r="T376" s="184"/>
      <c r="U376" s="184">
        <v>3000</v>
      </c>
      <c r="V376" s="185"/>
      <c r="W376" s="31">
        <f t="shared" si="52"/>
        <v>3000</v>
      </c>
      <c r="X376" s="76"/>
      <c r="Y376" s="76"/>
      <c r="Z376" s="33">
        <f t="shared" si="53"/>
        <v>0</v>
      </c>
      <c r="AA376" s="33">
        <f t="shared" si="54"/>
        <v>-3000</v>
      </c>
      <c r="AB376" s="262"/>
      <c r="AC376" s="262"/>
      <c r="AD376" s="261"/>
      <c r="AE376" s="261"/>
      <c r="AF376" s="178" t="s">
        <v>459</v>
      </c>
    </row>
    <row r="377" spans="1:32" ht="15" customHeight="1" x14ac:dyDescent="0.35">
      <c r="A377" s="264"/>
      <c r="B377" s="50"/>
      <c r="C377" s="53"/>
      <c r="D377" s="53"/>
      <c r="E377" s="53"/>
      <c r="F377" s="74"/>
      <c r="G377" s="41"/>
      <c r="H377" s="41"/>
      <c r="I377" s="54"/>
      <c r="J377" s="54">
        <f>SUM(J365:J376)</f>
        <v>1081050</v>
      </c>
      <c r="K377" s="54">
        <f t="shared" ref="K377:AC377" si="58">SUM(K365:K376)</f>
        <v>0</v>
      </c>
      <c r="L377" s="54">
        <f t="shared" si="58"/>
        <v>216.45</v>
      </c>
      <c r="M377" s="54">
        <f t="shared" si="58"/>
        <v>0</v>
      </c>
      <c r="N377" s="54">
        <f t="shared" si="58"/>
        <v>0</v>
      </c>
      <c r="O377" s="54">
        <f t="shared" si="58"/>
        <v>0</v>
      </c>
      <c r="P377" s="54">
        <f t="shared" si="58"/>
        <v>1835.78</v>
      </c>
      <c r="Q377" s="54">
        <f t="shared" si="58"/>
        <v>0</v>
      </c>
      <c r="R377" s="54">
        <f t="shared" si="58"/>
        <v>1078997.77</v>
      </c>
      <c r="S377" s="54">
        <f t="shared" si="58"/>
        <v>122100.77</v>
      </c>
      <c r="T377" s="54">
        <f t="shared" si="58"/>
        <v>0</v>
      </c>
      <c r="U377" s="54">
        <f t="shared" si="58"/>
        <v>956897</v>
      </c>
      <c r="V377" s="54">
        <f t="shared" si="58"/>
        <v>0</v>
      </c>
      <c r="W377" s="54">
        <f t="shared" si="58"/>
        <v>1081050</v>
      </c>
      <c r="X377" s="54" t="e">
        <f t="shared" si="58"/>
        <v>#REF!</v>
      </c>
      <c r="Y377" s="54">
        <f t="shared" si="58"/>
        <v>0</v>
      </c>
      <c r="Z377" s="54">
        <f t="shared" si="58"/>
        <v>0</v>
      </c>
      <c r="AA377" s="54">
        <f t="shared" si="58"/>
        <v>1.8189894035458565E-11</v>
      </c>
      <c r="AB377" s="54">
        <f t="shared" si="58"/>
        <v>1081050</v>
      </c>
      <c r="AC377" s="54">
        <f t="shared" si="58"/>
        <v>0</v>
      </c>
      <c r="AD377" s="261"/>
      <c r="AE377" s="261"/>
      <c r="AF377" s="49"/>
    </row>
    <row r="378" spans="1:32" ht="15" customHeight="1" x14ac:dyDescent="0.35">
      <c r="A378" s="264"/>
      <c r="B378" s="50"/>
      <c r="C378" s="50" t="s">
        <v>275</v>
      </c>
      <c r="D378" s="50" t="s">
        <v>17</v>
      </c>
      <c r="E378" s="50"/>
      <c r="F378" s="71" t="s">
        <v>275</v>
      </c>
      <c r="G378" s="27" t="s">
        <v>86</v>
      </c>
      <c r="H378" s="27">
        <v>1</v>
      </c>
      <c r="I378" s="45">
        <v>96428</v>
      </c>
      <c r="J378" s="45">
        <v>96428</v>
      </c>
      <c r="K378" s="45">
        <v>0</v>
      </c>
      <c r="L378" s="45"/>
      <c r="M378" s="45"/>
      <c r="N378" s="45"/>
      <c r="O378" s="45"/>
      <c r="P378" s="45"/>
      <c r="Q378" s="45"/>
      <c r="R378" s="45">
        <v>96428</v>
      </c>
      <c r="S378" s="81"/>
      <c r="T378" s="81"/>
      <c r="U378" s="61">
        <v>0</v>
      </c>
      <c r="V378" s="62"/>
      <c r="W378" s="31">
        <f t="shared" si="52"/>
        <v>0</v>
      </c>
      <c r="X378" s="60" t="e">
        <f>#REF!-W378</f>
        <v>#REF!</v>
      </c>
      <c r="Y378" s="60"/>
      <c r="Z378" s="33">
        <f t="shared" si="53"/>
        <v>0</v>
      </c>
      <c r="AA378" s="33">
        <f t="shared" si="54"/>
        <v>96428</v>
      </c>
      <c r="AB378" s="67"/>
      <c r="AC378" s="67"/>
      <c r="AD378" s="262"/>
      <c r="AE378" s="262"/>
      <c r="AF378" s="34" t="s">
        <v>460</v>
      </c>
    </row>
    <row r="379" spans="1:32" ht="15" customHeight="1" x14ac:dyDescent="0.35">
      <c r="A379" s="257" t="s">
        <v>277</v>
      </c>
      <c r="B379" s="257"/>
      <c r="C379" s="257"/>
      <c r="D379" s="257"/>
      <c r="E379" s="257"/>
      <c r="F379" s="257"/>
      <c r="G379" s="257"/>
      <c r="H379" s="257"/>
      <c r="I379" s="257"/>
      <c r="J379" s="69">
        <f>J349+J359+J364+J377+J378</f>
        <v>1990655</v>
      </c>
      <c r="K379" s="69">
        <f t="shared" ref="K379:AC379" si="59">K349+K359+K364+K377+K378</f>
        <v>116400</v>
      </c>
      <c r="L379" s="69">
        <f t="shared" si="59"/>
        <v>18893.39</v>
      </c>
      <c r="M379" s="69">
        <f t="shared" si="59"/>
        <v>0</v>
      </c>
      <c r="N379" s="69">
        <f t="shared" si="59"/>
        <v>14077.54</v>
      </c>
      <c r="O379" s="69">
        <f t="shared" si="59"/>
        <v>11379.779999999999</v>
      </c>
      <c r="P379" s="69">
        <f t="shared" si="59"/>
        <v>62519.97</v>
      </c>
      <c r="Q379" s="69">
        <f t="shared" si="59"/>
        <v>0</v>
      </c>
      <c r="R379" s="69">
        <f t="shared" si="59"/>
        <v>1895164.0999999999</v>
      </c>
      <c r="S379" s="69">
        <f t="shared" si="59"/>
        <v>568365.65999999992</v>
      </c>
      <c r="T379" s="69">
        <f t="shared" si="59"/>
        <v>58000</v>
      </c>
      <c r="U379" s="69">
        <f t="shared" si="59"/>
        <v>1230370.44</v>
      </c>
      <c r="V379" s="69">
        <f t="shared" si="59"/>
        <v>40000</v>
      </c>
      <c r="W379" s="69">
        <f t="shared" si="59"/>
        <v>1894227</v>
      </c>
      <c r="X379" s="69" t="e">
        <f t="shared" si="59"/>
        <v>#REF!</v>
      </c>
      <c r="Y379" s="69">
        <f t="shared" si="59"/>
        <v>0</v>
      </c>
      <c r="Z379" s="69">
        <f t="shared" si="59"/>
        <v>109379.78</v>
      </c>
      <c r="AA379" s="69">
        <f t="shared" si="59"/>
        <v>96428</v>
      </c>
      <c r="AB379" s="69">
        <f>AB349+AB359+AB364+AB377+AB378</f>
        <v>1894227</v>
      </c>
      <c r="AC379" s="69">
        <f t="shared" si="59"/>
        <v>109379.78</v>
      </c>
      <c r="AD379" s="69">
        <f>AD323+AD359+AD364+AD377+AD378</f>
        <v>1894227</v>
      </c>
      <c r="AE379" s="69">
        <f>AE323+AE359+AE364+AE377+AE378</f>
        <v>109379.78</v>
      </c>
      <c r="AF379" s="69">
        <f>SUM(AF323:AF378)</f>
        <v>0</v>
      </c>
    </row>
    <row r="380" spans="1:32" ht="15" customHeight="1" x14ac:dyDescent="0.35">
      <c r="A380" s="264" t="s">
        <v>461</v>
      </c>
      <c r="B380" s="268" t="s">
        <v>462</v>
      </c>
      <c r="C380" s="268" t="s">
        <v>463</v>
      </c>
      <c r="D380" s="50" t="s">
        <v>17</v>
      </c>
      <c r="E380" s="50" t="s">
        <v>161</v>
      </c>
      <c r="F380" s="71" t="s">
        <v>57</v>
      </c>
      <c r="G380" s="27" t="s">
        <v>58</v>
      </c>
      <c r="H380" s="27">
        <v>80</v>
      </c>
      <c r="I380" s="45">
        <v>600</v>
      </c>
      <c r="J380" s="45">
        <v>48000</v>
      </c>
      <c r="K380" s="45">
        <v>0</v>
      </c>
      <c r="L380" s="45"/>
      <c r="M380" s="45"/>
      <c r="N380" s="45"/>
      <c r="O380" s="45"/>
      <c r="P380" s="45">
        <v>0</v>
      </c>
      <c r="Q380" s="45"/>
      <c r="R380" s="45">
        <v>48000</v>
      </c>
      <c r="S380" s="61">
        <v>0</v>
      </c>
      <c r="T380" s="61"/>
      <c r="U380" s="61">
        <v>0</v>
      </c>
      <c r="V380" s="62"/>
      <c r="W380" s="31">
        <f t="shared" si="52"/>
        <v>0</v>
      </c>
      <c r="X380" s="76" t="e">
        <f>#REF!-W380</f>
        <v>#REF!</v>
      </c>
      <c r="Y380" s="76"/>
      <c r="Z380" s="33">
        <f t="shared" si="53"/>
        <v>0</v>
      </c>
      <c r="AA380" s="33">
        <f t="shared" si="54"/>
        <v>48000</v>
      </c>
      <c r="AB380" s="260">
        <f>SUM(W380:W389)</f>
        <v>399485.00000000006</v>
      </c>
      <c r="AC380" s="260">
        <f>SUM(Z380:Z389)</f>
        <v>27000</v>
      </c>
      <c r="AD380" s="260">
        <f>AB390+AB403+AB411+AB416+AB417</f>
        <v>928211.25</v>
      </c>
      <c r="AE380" s="260">
        <f>AC390+AC403+AC411+AC416+AC417</f>
        <v>56000</v>
      </c>
      <c r="AF380" s="34" t="s">
        <v>464</v>
      </c>
    </row>
    <row r="381" spans="1:32" ht="15" customHeight="1" x14ac:dyDescent="0.35">
      <c r="A381" s="264"/>
      <c r="B381" s="268"/>
      <c r="C381" s="268"/>
      <c r="D381" s="50" t="s">
        <v>17</v>
      </c>
      <c r="E381" s="50" t="s">
        <v>161</v>
      </c>
      <c r="F381" s="71" t="s">
        <v>36</v>
      </c>
      <c r="G381" s="27" t="s">
        <v>55</v>
      </c>
      <c r="H381" s="27">
        <v>4</v>
      </c>
      <c r="I381" s="45">
        <v>3750</v>
      </c>
      <c r="J381" s="45">
        <v>15000</v>
      </c>
      <c r="K381" s="45">
        <v>0</v>
      </c>
      <c r="L381" s="45"/>
      <c r="M381" s="45"/>
      <c r="N381" s="45"/>
      <c r="O381" s="45"/>
      <c r="P381" s="45">
        <v>0</v>
      </c>
      <c r="Q381" s="45"/>
      <c r="R381" s="45">
        <v>15000</v>
      </c>
      <c r="S381" s="61"/>
      <c r="T381" s="61"/>
      <c r="U381" s="61"/>
      <c r="V381" s="62"/>
      <c r="W381" s="31">
        <f t="shared" si="52"/>
        <v>0</v>
      </c>
      <c r="X381" s="76" t="e">
        <f>#REF!-W381</f>
        <v>#REF!</v>
      </c>
      <c r="Y381" s="76"/>
      <c r="Z381" s="33">
        <f t="shared" si="53"/>
        <v>0</v>
      </c>
      <c r="AA381" s="33">
        <f t="shared" si="54"/>
        <v>15000</v>
      </c>
      <c r="AB381" s="261"/>
      <c r="AC381" s="261"/>
      <c r="AD381" s="261"/>
      <c r="AE381" s="261"/>
      <c r="AF381" s="34" t="s">
        <v>465</v>
      </c>
    </row>
    <row r="382" spans="1:32" ht="15" customHeight="1" x14ac:dyDescent="0.35">
      <c r="A382" s="264"/>
      <c r="B382" s="268"/>
      <c r="C382" s="268"/>
      <c r="D382" s="50" t="s">
        <v>17</v>
      </c>
      <c r="E382" s="50" t="s">
        <v>161</v>
      </c>
      <c r="F382" s="71" t="s">
        <v>438</v>
      </c>
      <c r="G382" s="27" t="s">
        <v>439</v>
      </c>
      <c r="H382" s="27">
        <v>1</v>
      </c>
      <c r="I382" s="45"/>
      <c r="J382" s="45">
        <v>0</v>
      </c>
      <c r="K382" s="45">
        <v>0</v>
      </c>
      <c r="L382" s="45"/>
      <c r="M382" s="45"/>
      <c r="N382" s="45"/>
      <c r="O382" s="45"/>
      <c r="P382" s="45">
        <v>0</v>
      </c>
      <c r="Q382" s="45"/>
      <c r="R382" s="45">
        <v>0</v>
      </c>
      <c r="S382" s="61">
        <v>58500</v>
      </c>
      <c r="T382" s="61"/>
      <c r="U382" s="61">
        <v>125500</v>
      </c>
      <c r="V382" s="62"/>
      <c r="W382" s="31">
        <f t="shared" si="52"/>
        <v>184000</v>
      </c>
      <c r="X382" s="76" t="e">
        <f>#REF!-W382</f>
        <v>#REF!</v>
      </c>
      <c r="Y382" s="76"/>
      <c r="Z382" s="33">
        <f t="shared" si="53"/>
        <v>0</v>
      </c>
      <c r="AA382" s="33">
        <f t="shared" si="54"/>
        <v>-184000</v>
      </c>
      <c r="AB382" s="261"/>
      <c r="AC382" s="261"/>
      <c r="AD382" s="261"/>
      <c r="AE382" s="261"/>
      <c r="AF382" s="34" t="s">
        <v>466</v>
      </c>
    </row>
    <row r="383" spans="1:32" ht="15" customHeight="1" x14ac:dyDescent="0.35">
      <c r="A383" s="264"/>
      <c r="B383" s="268"/>
      <c r="C383" s="268"/>
      <c r="D383" s="50" t="s">
        <v>33</v>
      </c>
      <c r="E383" s="50" t="s">
        <v>34</v>
      </c>
      <c r="F383" s="71" t="s">
        <v>28</v>
      </c>
      <c r="G383" s="27" t="s">
        <v>29</v>
      </c>
      <c r="H383" s="27">
        <v>8</v>
      </c>
      <c r="I383" s="45">
        <v>2000</v>
      </c>
      <c r="J383" s="45">
        <v>0</v>
      </c>
      <c r="K383" s="45">
        <v>26000</v>
      </c>
      <c r="L383" s="45"/>
      <c r="M383" s="45"/>
      <c r="N383" s="45"/>
      <c r="O383" s="45"/>
      <c r="P383" s="45">
        <v>0</v>
      </c>
      <c r="Q383" s="45"/>
      <c r="R383" s="45">
        <v>0</v>
      </c>
      <c r="S383" s="61"/>
      <c r="T383" s="61">
        <v>13000</v>
      </c>
      <c r="U383" s="61"/>
      <c r="V383" s="62">
        <v>13000</v>
      </c>
      <c r="W383" s="31">
        <f t="shared" si="52"/>
        <v>0</v>
      </c>
      <c r="X383" s="76" t="e">
        <f>#REF!-W383</f>
        <v>#REF!</v>
      </c>
      <c r="Y383" s="76"/>
      <c r="Z383" s="33">
        <f t="shared" si="53"/>
        <v>26000</v>
      </c>
      <c r="AA383" s="33">
        <f t="shared" si="54"/>
        <v>0</v>
      </c>
      <c r="AB383" s="261"/>
      <c r="AC383" s="261"/>
      <c r="AD383" s="261"/>
      <c r="AE383" s="261"/>
      <c r="AF383" s="34" t="s">
        <v>467</v>
      </c>
    </row>
    <row r="384" spans="1:32" ht="15" customHeight="1" x14ac:dyDescent="0.35">
      <c r="A384" s="264"/>
      <c r="B384" s="268"/>
      <c r="C384" s="268"/>
      <c r="D384" s="50" t="s">
        <v>33</v>
      </c>
      <c r="E384" s="50" t="s">
        <v>34</v>
      </c>
      <c r="F384" s="71" t="s">
        <v>73</v>
      </c>
      <c r="G384" s="27" t="s">
        <v>86</v>
      </c>
      <c r="H384" s="27">
        <v>2</v>
      </c>
      <c r="I384" s="45">
        <v>500</v>
      </c>
      <c r="J384" s="45">
        <v>0</v>
      </c>
      <c r="K384" s="45">
        <v>1000</v>
      </c>
      <c r="L384" s="45"/>
      <c r="M384" s="45"/>
      <c r="N384" s="45"/>
      <c r="O384" s="45"/>
      <c r="P384" s="45">
        <v>0</v>
      </c>
      <c r="Q384" s="45"/>
      <c r="R384" s="45">
        <v>0</v>
      </c>
      <c r="S384" s="61"/>
      <c r="T384" s="61">
        <v>1000</v>
      </c>
      <c r="U384" s="61"/>
      <c r="V384" s="62"/>
      <c r="W384" s="31">
        <f t="shared" si="52"/>
        <v>0</v>
      </c>
      <c r="X384" s="76" t="e">
        <f>#REF!-W384</f>
        <v>#REF!</v>
      </c>
      <c r="Y384" s="76"/>
      <c r="Z384" s="33">
        <f t="shared" si="53"/>
        <v>1000</v>
      </c>
      <c r="AA384" s="33">
        <f t="shared" si="54"/>
        <v>0</v>
      </c>
      <c r="AB384" s="261"/>
      <c r="AC384" s="261"/>
      <c r="AD384" s="261"/>
      <c r="AE384" s="261"/>
      <c r="AF384" s="34" t="s">
        <v>468</v>
      </c>
    </row>
    <row r="385" spans="1:32" ht="15" customHeight="1" x14ac:dyDescent="0.35">
      <c r="A385" s="264"/>
      <c r="B385" s="268"/>
      <c r="C385" s="268"/>
      <c r="D385" s="50" t="s">
        <v>17</v>
      </c>
      <c r="E385" s="50" t="s">
        <v>161</v>
      </c>
      <c r="F385" s="71" t="s">
        <v>57</v>
      </c>
      <c r="G385" s="27" t="s">
        <v>58</v>
      </c>
      <c r="H385" s="27">
        <v>80</v>
      </c>
      <c r="I385" s="45">
        <v>500</v>
      </c>
      <c r="J385" s="45">
        <v>84895</v>
      </c>
      <c r="K385" s="45">
        <v>0</v>
      </c>
      <c r="L385" s="45">
        <v>84896.4</v>
      </c>
      <c r="M385" s="45"/>
      <c r="N385" s="45"/>
      <c r="O385" s="45"/>
      <c r="P385" s="45">
        <v>0</v>
      </c>
      <c r="Q385" s="45"/>
      <c r="R385" s="45">
        <v>-1.3999999999941792</v>
      </c>
      <c r="S385" s="61"/>
      <c r="T385" s="61"/>
      <c r="U385" s="61"/>
      <c r="V385" s="62"/>
      <c r="W385" s="31">
        <f t="shared" si="52"/>
        <v>84896.4</v>
      </c>
      <c r="X385" s="76" t="e">
        <f>#REF!-W385</f>
        <v>#REF!</v>
      </c>
      <c r="Y385" s="76"/>
      <c r="Z385" s="33">
        <f t="shared" si="53"/>
        <v>0</v>
      </c>
      <c r="AA385" s="33">
        <f t="shared" si="54"/>
        <v>-1.3999999999941792</v>
      </c>
      <c r="AB385" s="261"/>
      <c r="AC385" s="261"/>
      <c r="AD385" s="261"/>
      <c r="AE385" s="261"/>
      <c r="AF385" s="34" t="s">
        <v>469</v>
      </c>
    </row>
    <row r="386" spans="1:32" ht="15" customHeight="1" x14ac:dyDescent="0.35">
      <c r="A386" s="264"/>
      <c r="B386" s="268"/>
      <c r="C386" s="268"/>
      <c r="D386" s="50" t="s">
        <v>17</v>
      </c>
      <c r="E386" s="50" t="s">
        <v>161</v>
      </c>
      <c r="F386" s="71" t="s">
        <v>39</v>
      </c>
      <c r="G386" s="27" t="s">
        <v>40</v>
      </c>
      <c r="H386" s="27">
        <v>2</v>
      </c>
      <c r="I386" s="45">
        <v>6750</v>
      </c>
      <c r="J386" s="45">
        <v>0</v>
      </c>
      <c r="K386" s="45">
        <v>0</v>
      </c>
      <c r="L386" s="45">
        <v>3396.44</v>
      </c>
      <c r="M386" s="45"/>
      <c r="N386" s="45"/>
      <c r="O386" s="45"/>
      <c r="P386" s="45">
        <v>0</v>
      </c>
      <c r="Q386" s="45"/>
      <c r="R386" s="45">
        <v>-3396.44</v>
      </c>
      <c r="S386" s="61"/>
      <c r="T386" s="61"/>
      <c r="U386" s="61"/>
      <c r="V386" s="62"/>
      <c r="W386" s="31">
        <f t="shared" si="52"/>
        <v>3396.44</v>
      </c>
      <c r="X386" s="76" t="e">
        <f>#REF!-W386</f>
        <v>#REF!</v>
      </c>
      <c r="Y386" s="76"/>
      <c r="Z386" s="33">
        <f t="shared" si="53"/>
        <v>0</v>
      </c>
      <c r="AA386" s="33">
        <f t="shared" si="54"/>
        <v>-3396.44</v>
      </c>
      <c r="AB386" s="261"/>
      <c r="AC386" s="261"/>
      <c r="AD386" s="261"/>
      <c r="AE386" s="261"/>
      <c r="AF386" s="34" t="s">
        <v>470</v>
      </c>
    </row>
    <row r="387" spans="1:32" ht="15" customHeight="1" x14ac:dyDescent="0.35">
      <c r="A387" s="264"/>
      <c r="B387" s="268"/>
      <c r="C387" s="268"/>
      <c r="D387" s="50" t="s">
        <v>17</v>
      </c>
      <c r="E387" s="50" t="s">
        <v>34</v>
      </c>
      <c r="F387" s="71" t="s">
        <v>36</v>
      </c>
      <c r="G387" s="27"/>
      <c r="H387" s="27"/>
      <c r="I387" s="45"/>
      <c r="J387" s="45">
        <v>0</v>
      </c>
      <c r="K387" s="45">
        <v>0</v>
      </c>
      <c r="L387" s="45">
        <v>3768.08</v>
      </c>
      <c r="M387" s="45"/>
      <c r="N387" s="45"/>
      <c r="O387" s="45"/>
      <c r="P387" s="45">
        <v>0</v>
      </c>
      <c r="Q387" s="45"/>
      <c r="R387" s="45">
        <v>-3768.08</v>
      </c>
      <c r="S387" s="61"/>
      <c r="T387" s="61"/>
      <c r="U387" s="61"/>
      <c r="V387" s="62"/>
      <c r="W387" s="31">
        <f t="shared" si="52"/>
        <v>3768.08</v>
      </c>
      <c r="X387" s="76" t="e">
        <f>#REF!-W387</f>
        <v>#REF!</v>
      </c>
      <c r="Y387" s="76"/>
      <c r="Z387" s="33">
        <f t="shared" si="53"/>
        <v>0</v>
      </c>
      <c r="AA387" s="33">
        <f t="shared" si="54"/>
        <v>-3768.08</v>
      </c>
      <c r="AB387" s="261"/>
      <c r="AC387" s="261"/>
      <c r="AD387" s="261"/>
      <c r="AE387" s="261"/>
      <c r="AF387" s="34"/>
    </row>
    <row r="388" spans="1:32" ht="15" customHeight="1" x14ac:dyDescent="0.35">
      <c r="A388" s="264"/>
      <c r="B388" s="268"/>
      <c r="C388" s="268"/>
      <c r="D388" s="50" t="s">
        <v>17</v>
      </c>
      <c r="E388" s="50" t="s">
        <v>34</v>
      </c>
      <c r="F388" s="71" t="s">
        <v>39</v>
      </c>
      <c r="G388" s="27"/>
      <c r="H388" s="27"/>
      <c r="I388" s="45"/>
      <c r="J388" s="45">
        <v>0</v>
      </c>
      <c r="K388" s="45">
        <v>0</v>
      </c>
      <c r="L388" s="45">
        <v>2761.9</v>
      </c>
      <c r="M388" s="45"/>
      <c r="N388" s="45"/>
      <c r="O388" s="45"/>
      <c r="P388" s="45">
        <v>0</v>
      </c>
      <c r="Q388" s="45"/>
      <c r="R388" s="45">
        <v>-2761.9</v>
      </c>
      <c r="S388" s="61"/>
      <c r="T388" s="61"/>
      <c r="U388" s="61"/>
      <c r="V388" s="62"/>
      <c r="W388" s="31">
        <f t="shared" si="52"/>
        <v>2761.9</v>
      </c>
      <c r="X388" s="76" t="e">
        <f>#REF!-W388</f>
        <v>#REF!</v>
      </c>
      <c r="Y388" s="76"/>
      <c r="Z388" s="33">
        <f t="shared" si="53"/>
        <v>0</v>
      </c>
      <c r="AA388" s="33">
        <f t="shared" si="54"/>
        <v>-2761.9</v>
      </c>
      <c r="AB388" s="261"/>
      <c r="AC388" s="261"/>
      <c r="AD388" s="261"/>
      <c r="AE388" s="261"/>
      <c r="AF388" s="34"/>
    </row>
    <row r="389" spans="1:32" s="7" customFormat="1" ht="17.25" customHeight="1" x14ac:dyDescent="0.25">
      <c r="A389" s="264"/>
      <c r="B389" s="268"/>
      <c r="C389" s="268"/>
      <c r="D389" s="50" t="s">
        <v>17</v>
      </c>
      <c r="E389" s="50" t="s">
        <v>161</v>
      </c>
      <c r="F389" s="71" t="s">
        <v>471</v>
      </c>
      <c r="G389" s="27" t="s">
        <v>40</v>
      </c>
      <c r="H389" s="27">
        <v>2</v>
      </c>
      <c r="I389" s="45">
        <v>6750</v>
      </c>
      <c r="J389" s="45">
        <v>130590</v>
      </c>
      <c r="K389" s="45">
        <v>0</v>
      </c>
      <c r="L389" s="45">
        <v>19111.62</v>
      </c>
      <c r="M389" s="45"/>
      <c r="N389" s="45"/>
      <c r="O389" s="45"/>
      <c r="P389" s="45">
        <v>6801.2</v>
      </c>
      <c r="Q389" s="45"/>
      <c r="R389" s="45">
        <v>104677.18</v>
      </c>
      <c r="S389" s="82">
        <v>48000</v>
      </c>
      <c r="T389" s="82"/>
      <c r="U389" s="82">
        <f>48000-1250.64</f>
        <v>46749.36</v>
      </c>
      <c r="V389" s="83"/>
      <c r="W389" s="31">
        <f t="shared" si="52"/>
        <v>120662.18000000001</v>
      </c>
      <c r="X389" s="76" t="e">
        <f>#REF!-W389</f>
        <v>#REF!</v>
      </c>
      <c r="Y389" s="76"/>
      <c r="Z389" s="33">
        <f t="shared" si="53"/>
        <v>0</v>
      </c>
      <c r="AA389" s="33">
        <f t="shared" si="54"/>
        <v>9927.8199999999924</v>
      </c>
      <c r="AB389" s="262"/>
      <c r="AC389" s="262"/>
      <c r="AD389" s="261"/>
      <c r="AE389" s="261"/>
      <c r="AF389" s="34" t="s">
        <v>472</v>
      </c>
    </row>
    <row r="390" spans="1:32" ht="15" customHeight="1" x14ac:dyDescent="0.35">
      <c r="A390" s="264"/>
      <c r="B390" s="268"/>
      <c r="C390" s="53"/>
      <c r="D390" s="53"/>
      <c r="E390" s="53"/>
      <c r="F390" s="74"/>
      <c r="G390" s="41"/>
      <c r="H390" s="41"/>
      <c r="I390" s="54"/>
      <c r="J390" s="54">
        <f>SUM(J380:J389)</f>
        <v>278485</v>
      </c>
      <c r="K390" s="54">
        <f t="shared" ref="K390:AC390" si="60">SUM(K380:K389)</f>
        <v>27000</v>
      </c>
      <c r="L390" s="54">
        <f t="shared" si="60"/>
        <v>113934.43999999999</v>
      </c>
      <c r="M390" s="54">
        <f t="shared" si="60"/>
        <v>0</v>
      </c>
      <c r="N390" s="54">
        <f t="shared" si="60"/>
        <v>0</v>
      </c>
      <c r="O390" s="54">
        <f t="shared" si="60"/>
        <v>0</v>
      </c>
      <c r="P390" s="54">
        <f t="shared" si="60"/>
        <v>6801.2</v>
      </c>
      <c r="Q390" s="54">
        <f t="shared" si="60"/>
        <v>0</v>
      </c>
      <c r="R390" s="54">
        <f t="shared" si="60"/>
        <v>157749.35999999999</v>
      </c>
      <c r="S390" s="54">
        <f t="shared" si="60"/>
        <v>106500</v>
      </c>
      <c r="T390" s="54">
        <f t="shared" si="60"/>
        <v>14000</v>
      </c>
      <c r="U390" s="54">
        <f t="shared" si="60"/>
        <v>172249.36</v>
      </c>
      <c r="V390" s="54">
        <f t="shared" si="60"/>
        <v>13000</v>
      </c>
      <c r="W390" s="54">
        <f t="shared" si="60"/>
        <v>399485.00000000006</v>
      </c>
      <c r="X390" s="54" t="e">
        <f t="shared" si="60"/>
        <v>#REF!</v>
      </c>
      <c r="Y390" s="54">
        <f t="shared" si="60"/>
        <v>0</v>
      </c>
      <c r="Z390" s="54">
        <f t="shared" si="60"/>
        <v>27000</v>
      </c>
      <c r="AA390" s="54">
        <f t="shared" si="60"/>
        <v>-121000</v>
      </c>
      <c r="AB390" s="54">
        <f t="shared" si="60"/>
        <v>399485.00000000006</v>
      </c>
      <c r="AC390" s="54">
        <f t="shared" si="60"/>
        <v>27000</v>
      </c>
      <c r="AD390" s="261"/>
      <c r="AE390" s="261"/>
      <c r="AF390" s="49"/>
    </row>
    <row r="391" spans="1:32" ht="15" customHeight="1" x14ac:dyDescent="0.35">
      <c r="A391" s="264"/>
      <c r="B391" s="268"/>
      <c r="C391" s="268" t="s">
        <v>473</v>
      </c>
      <c r="D391" s="50" t="s">
        <v>17</v>
      </c>
      <c r="E391" s="50" t="s">
        <v>161</v>
      </c>
      <c r="F391" s="71" t="s">
        <v>118</v>
      </c>
      <c r="G391" s="27" t="s">
        <v>86</v>
      </c>
      <c r="H391" s="27">
        <v>1</v>
      </c>
      <c r="I391" s="45">
        <v>26000</v>
      </c>
      <c r="J391" s="45">
        <v>26000</v>
      </c>
      <c r="K391" s="45">
        <v>0</v>
      </c>
      <c r="L391" s="45"/>
      <c r="M391" s="45"/>
      <c r="N391" s="45">
        <v>12595</v>
      </c>
      <c r="O391" s="45"/>
      <c r="P391" s="45">
        <v>0</v>
      </c>
      <c r="Q391" s="45"/>
      <c r="R391" s="45">
        <v>13405</v>
      </c>
      <c r="S391" s="58">
        <v>13405</v>
      </c>
      <c r="T391" s="58"/>
      <c r="U391" s="58"/>
      <c r="V391" s="59"/>
      <c r="W391" s="31">
        <f t="shared" si="52"/>
        <v>26000</v>
      </c>
      <c r="X391" s="60" t="e">
        <f>#REF!-W391</f>
        <v>#REF!</v>
      </c>
      <c r="Y391" s="60"/>
      <c r="Z391" s="33">
        <f t="shared" si="53"/>
        <v>0</v>
      </c>
      <c r="AA391" s="33">
        <f t="shared" si="54"/>
        <v>0</v>
      </c>
      <c r="AB391" s="260">
        <f>SUM(W391:W402)</f>
        <v>287711.32</v>
      </c>
      <c r="AC391" s="260">
        <f>SUM(Z391:Z402)</f>
        <v>0</v>
      </c>
      <c r="AD391" s="261"/>
      <c r="AE391" s="261"/>
      <c r="AF391" s="34" t="s">
        <v>474</v>
      </c>
    </row>
    <row r="392" spans="1:32" ht="15" customHeight="1" x14ac:dyDescent="0.35">
      <c r="A392" s="264"/>
      <c r="B392" s="268"/>
      <c r="C392" s="268"/>
      <c r="D392" s="50" t="s">
        <v>17</v>
      </c>
      <c r="E392" s="50" t="s">
        <v>161</v>
      </c>
      <c r="F392" s="71" t="s">
        <v>53</v>
      </c>
      <c r="G392" s="27" t="s">
        <v>86</v>
      </c>
      <c r="H392" s="27">
        <v>4</v>
      </c>
      <c r="I392" s="45">
        <v>30000</v>
      </c>
      <c r="J392" s="45">
        <v>120000</v>
      </c>
      <c r="K392" s="45">
        <v>0</v>
      </c>
      <c r="L392" s="45"/>
      <c r="M392" s="45"/>
      <c r="N392" s="45"/>
      <c r="O392" s="45"/>
      <c r="P392" s="45">
        <v>2666.64</v>
      </c>
      <c r="Q392" s="45"/>
      <c r="R392" s="45">
        <v>117333.36</v>
      </c>
      <c r="S392" s="58">
        <v>0</v>
      </c>
      <c r="T392" s="58"/>
      <c r="U392" s="58">
        <f>117333-10300</f>
        <v>107033</v>
      </c>
      <c r="V392" s="59"/>
      <c r="W392" s="31">
        <f t="shared" si="52"/>
        <v>109699.64</v>
      </c>
      <c r="X392" s="60" t="e">
        <f>#REF!-W392</f>
        <v>#REF!</v>
      </c>
      <c r="Y392" s="60"/>
      <c r="Z392" s="33">
        <f t="shared" si="53"/>
        <v>0</v>
      </c>
      <c r="AA392" s="33">
        <f t="shared" si="54"/>
        <v>10300.36</v>
      </c>
      <c r="AB392" s="261"/>
      <c r="AC392" s="261"/>
      <c r="AD392" s="261"/>
      <c r="AE392" s="261"/>
      <c r="AF392" s="34" t="s">
        <v>475</v>
      </c>
    </row>
    <row r="393" spans="1:32" ht="15" customHeight="1" x14ac:dyDescent="0.35">
      <c r="A393" s="264"/>
      <c r="B393" s="268"/>
      <c r="C393" s="268"/>
      <c r="D393" s="50" t="s">
        <v>17</v>
      </c>
      <c r="E393" s="50" t="s">
        <v>161</v>
      </c>
      <c r="F393" s="71" t="s">
        <v>57</v>
      </c>
      <c r="G393" s="27" t="s">
        <v>58</v>
      </c>
      <c r="H393" s="27">
        <v>5</v>
      </c>
      <c r="I393" s="45">
        <v>750</v>
      </c>
      <c r="J393" s="45">
        <v>3750</v>
      </c>
      <c r="K393" s="45">
        <v>0</v>
      </c>
      <c r="L393" s="45"/>
      <c r="M393" s="45"/>
      <c r="N393" s="45"/>
      <c r="O393" s="45"/>
      <c r="P393" s="45">
        <v>0</v>
      </c>
      <c r="Q393" s="45"/>
      <c r="R393" s="45">
        <v>3750</v>
      </c>
      <c r="S393" s="58">
        <v>0</v>
      </c>
      <c r="T393" s="58"/>
      <c r="U393" s="58">
        <v>3750</v>
      </c>
      <c r="V393" s="59"/>
      <c r="W393" s="31">
        <f t="shared" si="52"/>
        <v>3750</v>
      </c>
      <c r="X393" s="60" t="e">
        <f>#REF!-W393</f>
        <v>#REF!</v>
      </c>
      <c r="Y393" s="60"/>
      <c r="Z393" s="33">
        <f t="shared" si="53"/>
        <v>0</v>
      </c>
      <c r="AA393" s="33">
        <f t="shared" si="54"/>
        <v>0</v>
      </c>
      <c r="AB393" s="261"/>
      <c r="AC393" s="261"/>
      <c r="AD393" s="261"/>
      <c r="AE393" s="261"/>
      <c r="AF393" s="34" t="s">
        <v>476</v>
      </c>
    </row>
    <row r="394" spans="1:32" ht="15" customHeight="1" x14ac:dyDescent="0.35">
      <c r="A394" s="264"/>
      <c r="B394" s="268"/>
      <c r="C394" s="268"/>
      <c r="D394" s="50" t="s">
        <v>17</v>
      </c>
      <c r="E394" s="50" t="s">
        <v>161</v>
      </c>
      <c r="F394" s="71" t="s">
        <v>57</v>
      </c>
      <c r="G394" s="27" t="s">
        <v>58</v>
      </c>
      <c r="H394" s="27">
        <v>13</v>
      </c>
      <c r="I394" s="45">
        <v>750</v>
      </c>
      <c r="J394" s="45">
        <v>9750</v>
      </c>
      <c r="K394" s="45">
        <v>0</v>
      </c>
      <c r="L394" s="45">
        <v>9750</v>
      </c>
      <c r="M394" s="45"/>
      <c r="N394" s="45"/>
      <c r="O394" s="45"/>
      <c r="P394" s="45">
        <v>0</v>
      </c>
      <c r="Q394" s="45"/>
      <c r="R394" s="45">
        <v>0</v>
      </c>
      <c r="S394" s="58">
        <v>0</v>
      </c>
      <c r="T394" s="58"/>
      <c r="U394" s="58"/>
      <c r="V394" s="59"/>
      <c r="W394" s="31">
        <f t="shared" si="52"/>
        <v>9750</v>
      </c>
      <c r="X394" s="60" t="e">
        <f>#REF!-W394</f>
        <v>#REF!</v>
      </c>
      <c r="Y394" s="60"/>
      <c r="Z394" s="33">
        <f t="shared" si="53"/>
        <v>0</v>
      </c>
      <c r="AA394" s="33">
        <f t="shared" si="54"/>
        <v>0</v>
      </c>
      <c r="AB394" s="261"/>
      <c r="AC394" s="261"/>
      <c r="AD394" s="261"/>
      <c r="AE394" s="261"/>
      <c r="AF394" s="34" t="s">
        <v>477</v>
      </c>
    </row>
    <row r="395" spans="1:32" ht="15" customHeight="1" x14ac:dyDescent="0.35">
      <c r="A395" s="264"/>
      <c r="B395" s="268"/>
      <c r="C395" s="268"/>
      <c r="D395" s="50" t="s">
        <v>17</v>
      </c>
      <c r="E395" s="50" t="s">
        <v>161</v>
      </c>
      <c r="F395" s="71" t="s">
        <v>36</v>
      </c>
      <c r="G395" s="27" t="s">
        <v>55</v>
      </c>
      <c r="H395" s="27">
        <v>1</v>
      </c>
      <c r="I395" s="45">
        <v>7745</v>
      </c>
      <c r="J395" s="45">
        <v>8562</v>
      </c>
      <c r="K395" s="45">
        <v>0</v>
      </c>
      <c r="L395" s="45">
        <v>8561.68</v>
      </c>
      <c r="M395" s="45"/>
      <c r="N395" s="45"/>
      <c r="O395" s="45"/>
      <c r="P395" s="45">
        <v>0</v>
      </c>
      <c r="Q395" s="45"/>
      <c r="R395" s="45">
        <v>0.31999999999970896</v>
      </c>
      <c r="S395" s="58">
        <v>0</v>
      </c>
      <c r="T395" s="58"/>
      <c r="U395" s="58"/>
      <c r="V395" s="59"/>
      <c r="W395" s="31">
        <f t="shared" ref="W395:W443" si="61">L395+N395+P395+S395+U395</f>
        <v>8561.68</v>
      </c>
      <c r="X395" s="60" t="e">
        <f>#REF!-W395</f>
        <v>#REF!</v>
      </c>
      <c r="Y395" s="60"/>
      <c r="Z395" s="33">
        <f t="shared" ref="Z395:Z443" si="62">M395+O395+Q395+T395+V395</f>
        <v>0</v>
      </c>
      <c r="AA395" s="33">
        <f t="shared" ref="AA395:AA443" si="63">J395-W395</f>
        <v>0.31999999999970896</v>
      </c>
      <c r="AB395" s="261"/>
      <c r="AC395" s="261"/>
      <c r="AD395" s="261"/>
      <c r="AE395" s="261"/>
      <c r="AF395" s="34" t="s">
        <v>478</v>
      </c>
    </row>
    <row r="396" spans="1:32" ht="15" customHeight="1" x14ac:dyDescent="0.35">
      <c r="A396" s="264"/>
      <c r="B396" s="268"/>
      <c r="C396" s="268"/>
      <c r="D396" s="50" t="s">
        <v>17</v>
      </c>
      <c r="E396" s="50" t="s">
        <v>161</v>
      </c>
      <c r="F396" s="71" t="s">
        <v>57</v>
      </c>
      <c r="G396" s="27" t="s">
        <v>58</v>
      </c>
      <c r="H396" s="27">
        <v>20</v>
      </c>
      <c r="I396" s="45">
        <v>600</v>
      </c>
      <c r="J396" s="45">
        <v>12000</v>
      </c>
      <c r="K396" s="45">
        <v>0</v>
      </c>
      <c r="L396" s="45"/>
      <c r="M396" s="45"/>
      <c r="N396" s="45"/>
      <c r="O396" s="45"/>
      <c r="P396" s="45">
        <v>0</v>
      </c>
      <c r="Q396" s="45"/>
      <c r="R396" s="45">
        <v>12000</v>
      </c>
      <c r="S396" s="58">
        <v>0</v>
      </c>
      <c r="T396" s="58"/>
      <c r="U396" s="58">
        <v>12000</v>
      </c>
      <c r="V396" s="59"/>
      <c r="W396" s="31">
        <f t="shared" si="61"/>
        <v>12000</v>
      </c>
      <c r="X396" s="60" t="e">
        <f>#REF!-W396</f>
        <v>#REF!</v>
      </c>
      <c r="Y396" s="60"/>
      <c r="Z396" s="33">
        <f t="shared" si="62"/>
        <v>0</v>
      </c>
      <c r="AA396" s="33">
        <f t="shared" si="63"/>
        <v>0</v>
      </c>
      <c r="AB396" s="261"/>
      <c r="AC396" s="261"/>
      <c r="AD396" s="261"/>
      <c r="AE396" s="261"/>
      <c r="AF396" s="34" t="s">
        <v>479</v>
      </c>
    </row>
    <row r="397" spans="1:32" ht="15" customHeight="1" x14ac:dyDescent="0.35">
      <c r="A397" s="264"/>
      <c r="B397" s="268"/>
      <c r="C397" s="268"/>
      <c r="D397" s="50" t="s">
        <v>17</v>
      </c>
      <c r="E397" s="50" t="s">
        <v>161</v>
      </c>
      <c r="F397" s="71" t="s">
        <v>36</v>
      </c>
      <c r="G397" s="27" t="s">
        <v>55</v>
      </c>
      <c r="H397" s="27">
        <v>2</v>
      </c>
      <c r="I397" s="45">
        <v>3750</v>
      </c>
      <c r="J397" s="45">
        <v>7500</v>
      </c>
      <c r="K397" s="45">
        <v>0</v>
      </c>
      <c r="L397" s="45"/>
      <c r="M397" s="45"/>
      <c r="N397" s="45"/>
      <c r="O397" s="45"/>
      <c r="P397" s="45">
        <v>0</v>
      </c>
      <c r="Q397" s="45"/>
      <c r="R397" s="45">
        <v>7500</v>
      </c>
      <c r="S397" s="58">
        <v>0</v>
      </c>
      <c r="T397" s="58"/>
      <c r="U397" s="58">
        <v>7500</v>
      </c>
      <c r="V397" s="59"/>
      <c r="W397" s="31">
        <f t="shared" si="61"/>
        <v>7500</v>
      </c>
      <c r="X397" s="60" t="e">
        <f>#REF!-W397</f>
        <v>#REF!</v>
      </c>
      <c r="Y397" s="60"/>
      <c r="Z397" s="33">
        <f t="shared" si="62"/>
        <v>0</v>
      </c>
      <c r="AA397" s="33">
        <f t="shared" si="63"/>
        <v>0</v>
      </c>
      <c r="AB397" s="261"/>
      <c r="AC397" s="261"/>
      <c r="AD397" s="261"/>
      <c r="AE397" s="261"/>
      <c r="AF397" s="34" t="s">
        <v>480</v>
      </c>
    </row>
    <row r="398" spans="1:32" ht="15" customHeight="1" x14ac:dyDescent="0.35">
      <c r="A398" s="264"/>
      <c r="B398" s="268"/>
      <c r="C398" s="268"/>
      <c r="D398" s="50" t="s">
        <v>17</v>
      </c>
      <c r="E398" s="50" t="s">
        <v>161</v>
      </c>
      <c r="F398" s="71" t="s">
        <v>39</v>
      </c>
      <c r="G398" s="27" t="s">
        <v>40</v>
      </c>
      <c r="H398" s="27">
        <v>4</v>
      </c>
      <c r="I398" s="45">
        <v>2000</v>
      </c>
      <c r="J398" s="45">
        <v>8000</v>
      </c>
      <c r="K398" s="45">
        <v>0</v>
      </c>
      <c r="L398" s="45"/>
      <c r="M398" s="45"/>
      <c r="N398" s="45"/>
      <c r="O398" s="45"/>
      <c r="P398" s="45">
        <v>2253.7800000000002</v>
      </c>
      <c r="Q398" s="45"/>
      <c r="R398" s="45">
        <v>5746.2199999999993</v>
      </c>
      <c r="S398" s="58">
        <v>5746.2199999999993</v>
      </c>
      <c r="T398" s="58"/>
      <c r="U398" s="58">
        <v>0</v>
      </c>
      <c r="V398" s="59"/>
      <c r="W398" s="31">
        <f t="shared" si="61"/>
        <v>8000</v>
      </c>
      <c r="X398" s="60" t="e">
        <f>#REF!-W398</f>
        <v>#REF!</v>
      </c>
      <c r="Y398" s="60"/>
      <c r="Z398" s="33">
        <f t="shared" si="62"/>
        <v>0</v>
      </c>
      <c r="AA398" s="33">
        <f t="shared" si="63"/>
        <v>0</v>
      </c>
      <c r="AB398" s="261"/>
      <c r="AC398" s="261"/>
      <c r="AD398" s="261"/>
      <c r="AE398" s="261"/>
      <c r="AF398" s="34" t="s">
        <v>481</v>
      </c>
    </row>
    <row r="399" spans="1:32" ht="15" customHeight="1" x14ac:dyDescent="0.35">
      <c r="A399" s="264"/>
      <c r="B399" s="268"/>
      <c r="C399" s="268"/>
      <c r="D399" s="50" t="s">
        <v>17</v>
      </c>
      <c r="E399" s="50" t="s">
        <v>161</v>
      </c>
      <c r="F399" s="71" t="s">
        <v>120</v>
      </c>
      <c r="G399" s="27" t="s">
        <v>58</v>
      </c>
      <c r="H399" s="27">
        <v>120</v>
      </c>
      <c r="I399" s="45">
        <v>250</v>
      </c>
      <c r="J399" s="45">
        <v>30000</v>
      </c>
      <c r="K399" s="45">
        <v>0</v>
      </c>
      <c r="L399" s="45"/>
      <c r="M399" s="45"/>
      <c r="N399" s="45"/>
      <c r="O399" s="45"/>
      <c r="P399" s="45">
        <v>0</v>
      </c>
      <c r="Q399" s="45"/>
      <c r="R399" s="45">
        <v>30000</v>
      </c>
      <c r="S399" s="58">
        <v>0</v>
      </c>
      <c r="T399" s="58"/>
      <c r="U399" s="58">
        <v>0</v>
      </c>
      <c r="V399" s="59"/>
      <c r="W399" s="31">
        <f t="shared" si="61"/>
        <v>0</v>
      </c>
      <c r="X399" s="60" t="e">
        <f>#REF!-W399</f>
        <v>#REF!</v>
      </c>
      <c r="Y399" s="60"/>
      <c r="Z399" s="33">
        <f t="shared" si="62"/>
        <v>0</v>
      </c>
      <c r="AA399" s="33">
        <f t="shared" si="63"/>
        <v>30000</v>
      </c>
      <c r="AB399" s="261"/>
      <c r="AC399" s="261"/>
      <c r="AD399" s="261"/>
      <c r="AE399" s="261"/>
      <c r="AF399" s="34" t="s">
        <v>482</v>
      </c>
    </row>
    <row r="400" spans="1:32" ht="15" customHeight="1" x14ac:dyDescent="0.35">
      <c r="A400" s="264"/>
      <c r="B400" s="268"/>
      <c r="C400" s="268"/>
      <c r="D400" s="50" t="s">
        <v>17</v>
      </c>
      <c r="E400" s="50" t="s">
        <v>161</v>
      </c>
      <c r="F400" s="71" t="s">
        <v>69</v>
      </c>
      <c r="G400" s="27" t="s">
        <v>55</v>
      </c>
      <c r="H400" s="27">
        <v>24</v>
      </c>
      <c r="I400" s="45">
        <v>1100</v>
      </c>
      <c r="J400" s="45">
        <v>26400</v>
      </c>
      <c r="K400" s="45">
        <v>0</v>
      </c>
      <c r="L400" s="45"/>
      <c r="M400" s="45"/>
      <c r="N400" s="45"/>
      <c r="O400" s="45"/>
      <c r="P400" s="45">
        <v>0</v>
      </c>
      <c r="Q400" s="45"/>
      <c r="R400" s="45">
        <v>26400</v>
      </c>
      <c r="S400" s="58">
        <v>0</v>
      </c>
      <c r="T400" s="58"/>
      <c r="U400" s="58">
        <v>13200</v>
      </c>
      <c r="V400" s="59"/>
      <c r="W400" s="31">
        <f t="shared" si="61"/>
        <v>13200</v>
      </c>
      <c r="X400" s="60" t="e">
        <f>#REF!-W400</f>
        <v>#REF!</v>
      </c>
      <c r="Y400" s="60"/>
      <c r="Z400" s="33">
        <f t="shared" si="62"/>
        <v>0</v>
      </c>
      <c r="AA400" s="33">
        <f t="shared" si="63"/>
        <v>13200</v>
      </c>
      <c r="AB400" s="261"/>
      <c r="AC400" s="261"/>
      <c r="AD400" s="261"/>
      <c r="AE400" s="261"/>
      <c r="AF400" s="34" t="s">
        <v>483</v>
      </c>
    </row>
    <row r="401" spans="1:32" ht="15" customHeight="1" x14ac:dyDescent="0.35">
      <c r="A401" s="264"/>
      <c r="B401" s="268"/>
      <c r="C401" s="268"/>
      <c r="D401" s="50" t="s">
        <v>17</v>
      </c>
      <c r="E401" s="50" t="s">
        <v>161</v>
      </c>
      <c r="F401" s="71" t="s">
        <v>53</v>
      </c>
      <c r="G401" s="27" t="s">
        <v>86</v>
      </c>
      <c r="H401" s="27">
        <v>3</v>
      </c>
      <c r="I401" s="45">
        <v>9750</v>
      </c>
      <c r="J401" s="45">
        <v>29250</v>
      </c>
      <c r="K401" s="45">
        <v>0</v>
      </c>
      <c r="L401" s="45"/>
      <c r="M401" s="45"/>
      <c r="N401" s="45"/>
      <c r="O401" s="45"/>
      <c r="P401" s="45">
        <v>0</v>
      </c>
      <c r="Q401" s="45"/>
      <c r="R401" s="45">
        <v>29250</v>
      </c>
      <c r="S401" s="58">
        <v>0</v>
      </c>
      <c r="T401" s="58"/>
      <c r="U401" s="58">
        <v>29250</v>
      </c>
      <c r="V401" s="59"/>
      <c r="W401" s="31">
        <f t="shared" si="61"/>
        <v>29250</v>
      </c>
      <c r="X401" s="60" t="e">
        <f>#REF!-W401</f>
        <v>#REF!</v>
      </c>
      <c r="Y401" s="60"/>
      <c r="Z401" s="33">
        <f t="shared" si="62"/>
        <v>0</v>
      </c>
      <c r="AA401" s="33">
        <f t="shared" si="63"/>
        <v>0</v>
      </c>
      <c r="AB401" s="261"/>
      <c r="AC401" s="261"/>
      <c r="AD401" s="261"/>
      <c r="AE401" s="261"/>
      <c r="AF401" s="34" t="s">
        <v>484</v>
      </c>
    </row>
    <row r="402" spans="1:32" ht="15" customHeight="1" x14ac:dyDescent="0.35">
      <c r="A402" s="264"/>
      <c r="B402" s="268"/>
      <c r="C402" s="268"/>
      <c r="D402" s="50" t="s">
        <v>17</v>
      </c>
      <c r="E402" s="50" t="s">
        <v>161</v>
      </c>
      <c r="F402" s="71" t="s">
        <v>53</v>
      </c>
      <c r="G402" s="27" t="s">
        <v>86</v>
      </c>
      <c r="H402" s="27">
        <v>3</v>
      </c>
      <c r="I402" s="45">
        <v>20000</v>
      </c>
      <c r="J402" s="45">
        <v>60000</v>
      </c>
      <c r="K402" s="45">
        <v>0</v>
      </c>
      <c r="L402" s="45"/>
      <c r="M402" s="45"/>
      <c r="N402" s="45"/>
      <c r="O402" s="45"/>
      <c r="P402" s="45">
        <v>0</v>
      </c>
      <c r="Q402" s="45"/>
      <c r="R402" s="45">
        <v>60000</v>
      </c>
      <c r="S402" s="58">
        <v>30000</v>
      </c>
      <c r="T402" s="58"/>
      <c r="U402" s="58">
        <v>30000</v>
      </c>
      <c r="V402" s="59"/>
      <c r="W402" s="31">
        <f t="shared" si="61"/>
        <v>60000</v>
      </c>
      <c r="X402" s="60" t="e">
        <f>#REF!-W402</f>
        <v>#REF!</v>
      </c>
      <c r="Y402" s="60"/>
      <c r="Z402" s="33">
        <f t="shared" si="62"/>
        <v>0</v>
      </c>
      <c r="AA402" s="33">
        <f t="shared" si="63"/>
        <v>0</v>
      </c>
      <c r="AB402" s="262"/>
      <c r="AC402" s="262"/>
      <c r="AD402" s="261"/>
      <c r="AE402" s="261"/>
      <c r="AF402" s="34" t="s">
        <v>485</v>
      </c>
    </row>
    <row r="403" spans="1:32" ht="15" customHeight="1" x14ac:dyDescent="0.35">
      <c r="A403" s="264"/>
      <c r="B403" s="50"/>
      <c r="C403" s="53"/>
      <c r="D403" s="53"/>
      <c r="E403" s="53"/>
      <c r="F403" s="74"/>
      <c r="G403" s="41"/>
      <c r="H403" s="41"/>
      <c r="I403" s="54"/>
      <c r="J403" s="54">
        <f>SUM(J391:J402)</f>
        <v>341212</v>
      </c>
      <c r="K403" s="54">
        <f t="shared" ref="K403:AC403" si="64">SUM(K391:K402)</f>
        <v>0</v>
      </c>
      <c r="L403" s="54">
        <f t="shared" si="64"/>
        <v>18311.68</v>
      </c>
      <c r="M403" s="54">
        <f t="shared" si="64"/>
        <v>0</v>
      </c>
      <c r="N403" s="54">
        <f t="shared" si="64"/>
        <v>12595</v>
      </c>
      <c r="O403" s="54">
        <f t="shared" si="64"/>
        <v>0</v>
      </c>
      <c r="P403" s="54">
        <f t="shared" si="64"/>
        <v>4920.42</v>
      </c>
      <c r="Q403" s="54">
        <f t="shared" si="64"/>
        <v>0</v>
      </c>
      <c r="R403" s="54">
        <f t="shared" si="64"/>
        <v>305384.90000000002</v>
      </c>
      <c r="S403" s="54">
        <f t="shared" si="64"/>
        <v>49151.22</v>
      </c>
      <c r="T403" s="54">
        <f t="shared" si="64"/>
        <v>0</v>
      </c>
      <c r="U403" s="54">
        <f t="shared" si="64"/>
        <v>202733</v>
      </c>
      <c r="V403" s="54">
        <f t="shared" si="64"/>
        <v>0</v>
      </c>
      <c r="W403" s="54">
        <f t="shared" si="64"/>
        <v>287711.32</v>
      </c>
      <c r="X403" s="54" t="e">
        <f t="shared" si="64"/>
        <v>#REF!</v>
      </c>
      <c r="Y403" s="54">
        <f t="shared" si="64"/>
        <v>0</v>
      </c>
      <c r="Z403" s="54">
        <f t="shared" si="64"/>
        <v>0</v>
      </c>
      <c r="AA403" s="54">
        <f t="shared" si="64"/>
        <v>53500.68</v>
      </c>
      <c r="AB403" s="54">
        <f t="shared" si="64"/>
        <v>287711.32</v>
      </c>
      <c r="AC403" s="54">
        <f t="shared" si="64"/>
        <v>0</v>
      </c>
      <c r="AD403" s="261"/>
      <c r="AE403" s="261"/>
      <c r="AF403" s="49"/>
    </row>
    <row r="404" spans="1:32" ht="15" customHeight="1" x14ac:dyDescent="0.35">
      <c r="A404" s="264"/>
      <c r="B404" s="268" t="s">
        <v>486</v>
      </c>
      <c r="C404" s="268" t="s">
        <v>487</v>
      </c>
      <c r="D404" s="50" t="s">
        <v>17</v>
      </c>
      <c r="E404" s="50" t="s">
        <v>161</v>
      </c>
      <c r="F404" s="71" t="s">
        <v>57</v>
      </c>
      <c r="G404" s="27" t="s">
        <v>58</v>
      </c>
      <c r="H404" s="27">
        <v>120</v>
      </c>
      <c r="I404" s="45">
        <v>600</v>
      </c>
      <c r="J404" s="45">
        <v>72000</v>
      </c>
      <c r="K404" s="45">
        <v>0</v>
      </c>
      <c r="L404" s="45"/>
      <c r="M404" s="45"/>
      <c r="N404" s="45"/>
      <c r="O404" s="45"/>
      <c r="P404" s="45">
        <v>0</v>
      </c>
      <c r="Q404" s="45"/>
      <c r="R404" s="45">
        <v>72000</v>
      </c>
      <c r="S404" s="58">
        <v>0</v>
      </c>
      <c r="T404" s="58"/>
      <c r="U404" s="58">
        <v>72000</v>
      </c>
      <c r="V404" s="59"/>
      <c r="W404" s="31">
        <f t="shared" si="61"/>
        <v>72000</v>
      </c>
      <c r="X404" s="60" t="e">
        <f>#REF!-W404</f>
        <v>#REF!</v>
      </c>
      <c r="Y404" s="60"/>
      <c r="Z404" s="33">
        <f t="shared" si="62"/>
        <v>0</v>
      </c>
      <c r="AA404" s="33">
        <f t="shared" si="63"/>
        <v>0</v>
      </c>
      <c r="AB404" s="260">
        <f>SUM(W404:W410)</f>
        <v>162264.93</v>
      </c>
      <c r="AC404" s="260">
        <f>SUM(Z404:Z410)</f>
        <v>29000</v>
      </c>
      <c r="AD404" s="261"/>
      <c r="AE404" s="261"/>
      <c r="AF404" s="34" t="s">
        <v>488</v>
      </c>
    </row>
    <row r="405" spans="1:32" ht="15" customHeight="1" x14ac:dyDescent="0.35">
      <c r="A405" s="264"/>
      <c r="B405" s="268"/>
      <c r="C405" s="268"/>
      <c r="D405" s="50" t="s">
        <v>33</v>
      </c>
      <c r="E405" s="50" t="s">
        <v>34</v>
      </c>
      <c r="F405" s="71" t="s">
        <v>28</v>
      </c>
      <c r="G405" s="27" t="s">
        <v>29</v>
      </c>
      <c r="H405" s="27">
        <v>4</v>
      </c>
      <c r="I405" s="45">
        <v>2000</v>
      </c>
      <c r="J405" s="45">
        <v>0</v>
      </c>
      <c r="K405" s="45">
        <v>29000</v>
      </c>
      <c r="L405" s="45"/>
      <c r="M405" s="45"/>
      <c r="N405" s="45"/>
      <c r="O405" s="45"/>
      <c r="P405" s="45">
        <v>0</v>
      </c>
      <c r="Q405" s="45"/>
      <c r="R405" s="45">
        <v>0</v>
      </c>
      <c r="S405" s="58"/>
      <c r="T405" s="58">
        <v>14500</v>
      </c>
      <c r="U405" s="58"/>
      <c r="V405" s="59">
        <v>14500</v>
      </c>
      <c r="W405" s="31">
        <f t="shared" si="61"/>
        <v>0</v>
      </c>
      <c r="X405" s="60" t="e">
        <f>#REF!-W405</f>
        <v>#REF!</v>
      </c>
      <c r="Y405" s="60"/>
      <c r="Z405" s="33">
        <f t="shared" si="62"/>
        <v>29000</v>
      </c>
      <c r="AA405" s="33">
        <f t="shared" si="63"/>
        <v>0</v>
      </c>
      <c r="AB405" s="261"/>
      <c r="AC405" s="261"/>
      <c r="AD405" s="261"/>
      <c r="AE405" s="261"/>
      <c r="AF405" s="34" t="s">
        <v>489</v>
      </c>
    </row>
    <row r="406" spans="1:32" ht="15" customHeight="1" x14ac:dyDescent="0.35">
      <c r="A406" s="264"/>
      <c r="B406" s="268"/>
      <c r="C406" s="268"/>
      <c r="D406" s="50" t="s">
        <v>17</v>
      </c>
      <c r="E406" s="50" t="s">
        <v>161</v>
      </c>
      <c r="F406" s="71" t="s">
        <v>36</v>
      </c>
      <c r="G406" s="27" t="s">
        <v>55</v>
      </c>
      <c r="H406" s="27">
        <v>9</v>
      </c>
      <c r="I406" s="45">
        <v>3750</v>
      </c>
      <c r="J406" s="45">
        <v>31761</v>
      </c>
      <c r="K406" s="45">
        <v>0</v>
      </c>
      <c r="L406" s="45"/>
      <c r="M406" s="45"/>
      <c r="N406" s="45"/>
      <c r="O406" s="45"/>
      <c r="P406" s="45">
        <v>0</v>
      </c>
      <c r="Q406" s="45"/>
      <c r="R406" s="45">
        <v>31761</v>
      </c>
      <c r="S406" s="58">
        <v>31761</v>
      </c>
      <c r="T406" s="58"/>
      <c r="U406" s="58"/>
      <c r="V406" s="59"/>
      <c r="W406" s="31">
        <f t="shared" si="61"/>
        <v>31761</v>
      </c>
      <c r="X406" s="60" t="e">
        <f>#REF!-W406</f>
        <v>#REF!</v>
      </c>
      <c r="Y406" s="60"/>
      <c r="Z406" s="33">
        <f t="shared" si="62"/>
        <v>0</v>
      </c>
      <c r="AA406" s="33">
        <f t="shared" si="63"/>
        <v>0</v>
      </c>
      <c r="AB406" s="261"/>
      <c r="AC406" s="261"/>
      <c r="AD406" s="261"/>
      <c r="AE406" s="261"/>
      <c r="AF406" s="34" t="s">
        <v>490</v>
      </c>
    </row>
    <row r="407" spans="1:32" ht="15" customHeight="1" x14ac:dyDescent="0.35">
      <c r="A407" s="264"/>
      <c r="B407" s="268"/>
      <c r="C407" s="268"/>
      <c r="D407" s="50" t="s">
        <v>17</v>
      </c>
      <c r="E407" s="50" t="s">
        <v>161</v>
      </c>
      <c r="F407" s="71" t="s">
        <v>57</v>
      </c>
      <c r="G407" s="27" t="s">
        <v>86</v>
      </c>
      <c r="H407" s="27">
        <v>1</v>
      </c>
      <c r="I407" s="45">
        <v>28400</v>
      </c>
      <c r="J407" s="45">
        <v>28400</v>
      </c>
      <c r="K407" s="45">
        <v>0</v>
      </c>
      <c r="L407" s="45">
        <v>28400</v>
      </c>
      <c r="M407" s="45"/>
      <c r="N407" s="45"/>
      <c r="O407" s="45"/>
      <c r="P407" s="45">
        <v>0</v>
      </c>
      <c r="Q407" s="45"/>
      <c r="R407" s="45">
        <v>0</v>
      </c>
      <c r="S407" s="58"/>
      <c r="T407" s="58"/>
      <c r="U407" s="58"/>
      <c r="V407" s="59"/>
      <c r="W407" s="31">
        <f t="shared" si="61"/>
        <v>28400</v>
      </c>
      <c r="X407" s="60" t="e">
        <f>#REF!-W407</f>
        <v>#REF!</v>
      </c>
      <c r="Y407" s="60"/>
      <c r="Z407" s="33">
        <f t="shared" si="62"/>
        <v>0</v>
      </c>
      <c r="AA407" s="33">
        <f t="shared" si="63"/>
        <v>0</v>
      </c>
      <c r="AB407" s="261"/>
      <c r="AC407" s="261"/>
      <c r="AD407" s="261"/>
      <c r="AE407" s="261"/>
      <c r="AF407" s="34" t="s">
        <v>491</v>
      </c>
    </row>
    <row r="408" spans="1:32" ht="15" customHeight="1" x14ac:dyDescent="0.35">
      <c r="A408" s="264"/>
      <c r="B408" s="268"/>
      <c r="C408" s="268"/>
      <c r="D408" s="50" t="s">
        <v>17</v>
      </c>
      <c r="E408" s="50" t="s">
        <v>161</v>
      </c>
      <c r="F408" s="71" t="s">
        <v>39</v>
      </c>
      <c r="G408" s="27" t="s">
        <v>40</v>
      </c>
      <c r="H408" s="27">
        <v>6</v>
      </c>
      <c r="I408" s="45">
        <v>2250</v>
      </c>
      <c r="J408" s="45">
        <v>13500</v>
      </c>
      <c r="K408" s="45">
        <v>0</v>
      </c>
      <c r="L408" s="45"/>
      <c r="M408" s="45"/>
      <c r="N408" s="45"/>
      <c r="O408" s="45"/>
      <c r="P408" s="45">
        <v>1632.37</v>
      </c>
      <c r="Q408" s="45"/>
      <c r="R408" s="45">
        <v>11867.630000000001</v>
      </c>
      <c r="S408" s="58">
        <v>13221.56</v>
      </c>
      <c r="T408" s="58"/>
      <c r="U408" s="58"/>
      <c r="V408" s="59"/>
      <c r="W408" s="31">
        <f t="shared" si="61"/>
        <v>14853.93</v>
      </c>
      <c r="X408" s="60" t="e">
        <f>#REF!-W408</f>
        <v>#REF!</v>
      </c>
      <c r="Y408" s="60"/>
      <c r="Z408" s="33">
        <f t="shared" si="62"/>
        <v>0</v>
      </c>
      <c r="AA408" s="33">
        <f t="shared" si="63"/>
        <v>-1353.9300000000003</v>
      </c>
      <c r="AB408" s="261"/>
      <c r="AC408" s="261"/>
      <c r="AD408" s="261"/>
      <c r="AE408" s="261"/>
      <c r="AF408" s="34" t="s">
        <v>492</v>
      </c>
    </row>
    <row r="409" spans="1:32" ht="15" customHeight="1" x14ac:dyDescent="0.35">
      <c r="A409" s="264"/>
      <c r="B409" s="268"/>
      <c r="C409" s="268"/>
      <c r="D409" s="50" t="s">
        <v>33</v>
      </c>
      <c r="E409" s="50" t="s">
        <v>34</v>
      </c>
      <c r="F409" s="71" t="s">
        <v>39</v>
      </c>
      <c r="G409" s="27" t="s">
        <v>40</v>
      </c>
      <c r="H409" s="27">
        <v>1</v>
      </c>
      <c r="I409" s="45">
        <v>5250</v>
      </c>
      <c r="J409" s="45">
        <v>5250</v>
      </c>
      <c r="K409" s="45">
        <v>0</v>
      </c>
      <c r="L409" s="45"/>
      <c r="M409" s="45"/>
      <c r="N409" s="45"/>
      <c r="O409" s="45"/>
      <c r="P409" s="45">
        <v>0</v>
      </c>
      <c r="Q409" s="45"/>
      <c r="R409" s="45">
        <v>5250</v>
      </c>
      <c r="S409" s="58">
        <v>5250</v>
      </c>
      <c r="T409" s="58"/>
      <c r="U409" s="58"/>
      <c r="V409" s="59"/>
      <c r="W409" s="31">
        <f t="shared" si="61"/>
        <v>5250</v>
      </c>
      <c r="X409" s="60" t="e">
        <f>#REF!-W409</f>
        <v>#REF!</v>
      </c>
      <c r="Y409" s="60"/>
      <c r="Z409" s="33">
        <f t="shared" si="62"/>
        <v>0</v>
      </c>
      <c r="AA409" s="33">
        <f t="shared" si="63"/>
        <v>0</v>
      </c>
      <c r="AB409" s="261"/>
      <c r="AC409" s="261"/>
      <c r="AD409" s="261"/>
      <c r="AE409" s="261"/>
      <c r="AF409" s="34" t="s">
        <v>493</v>
      </c>
    </row>
    <row r="410" spans="1:32" ht="15" customHeight="1" x14ac:dyDescent="0.35">
      <c r="A410" s="264"/>
      <c r="B410" s="268"/>
      <c r="C410" s="268"/>
      <c r="D410" s="50" t="s">
        <v>17</v>
      </c>
      <c r="E410" s="50" t="s">
        <v>161</v>
      </c>
      <c r="F410" s="71" t="s">
        <v>118</v>
      </c>
      <c r="G410" s="27" t="s">
        <v>86</v>
      </c>
      <c r="H410" s="27">
        <v>2</v>
      </c>
      <c r="I410" s="45">
        <v>5000</v>
      </c>
      <c r="J410" s="45">
        <v>10000</v>
      </c>
      <c r="K410" s="45">
        <v>0</v>
      </c>
      <c r="L410" s="45"/>
      <c r="M410" s="45"/>
      <c r="N410" s="45"/>
      <c r="O410" s="45"/>
      <c r="P410" s="45">
        <v>0</v>
      </c>
      <c r="Q410" s="45"/>
      <c r="R410" s="45">
        <v>10000</v>
      </c>
      <c r="S410" s="58">
        <v>10000</v>
      </c>
      <c r="T410" s="58"/>
      <c r="U410" s="58"/>
      <c r="V410" s="59"/>
      <c r="W410" s="31">
        <f t="shared" si="61"/>
        <v>10000</v>
      </c>
      <c r="X410" s="60" t="e">
        <f>#REF!-W410</f>
        <v>#REF!</v>
      </c>
      <c r="Y410" s="60"/>
      <c r="Z410" s="33">
        <f t="shared" si="62"/>
        <v>0</v>
      </c>
      <c r="AA410" s="33">
        <f t="shared" si="63"/>
        <v>0</v>
      </c>
      <c r="AB410" s="262"/>
      <c r="AC410" s="262"/>
      <c r="AD410" s="261"/>
      <c r="AE410" s="261"/>
      <c r="AF410" s="34" t="s">
        <v>494</v>
      </c>
    </row>
    <row r="411" spans="1:32" ht="15" customHeight="1" x14ac:dyDescent="0.35">
      <c r="A411" s="264"/>
      <c r="B411" s="268"/>
      <c r="C411" s="53"/>
      <c r="D411" s="53"/>
      <c r="E411" s="53"/>
      <c r="F411" s="74"/>
      <c r="G411" s="41"/>
      <c r="H411" s="41"/>
      <c r="I411" s="54"/>
      <c r="J411" s="54">
        <f>SUM(J404:J410)</f>
        <v>160911</v>
      </c>
      <c r="K411" s="54">
        <f t="shared" ref="K411:AC411" si="65">SUM(K404:K410)</f>
        <v>29000</v>
      </c>
      <c r="L411" s="54">
        <f t="shared" si="65"/>
        <v>28400</v>
      </c>
      <c r="M411" s="54">
        <f t="shared" si="65"/>
        <v>0</v>
      </c>
      <c r="N411" s="54">
        <f t="shared" si="65"/>
        <v>0</v>
      </c>
      <c r="O411" s="54">
        <f t="shared" si="65"/>
        <v>0</v>
      </c>
      <c r="P411" s="54">
        <f t="shared" si="65"/>
        <v>1632.37</v>
      </c>
      <c r="Q411" s="54">
        <f t="shared" si="65"/>
        <v>0</v>
      </c>
      <c r="R411" s="54">
        <f t="shared" si="65"/>
        <v>130878.63</v>
      </c>
      <c r="S411" s="54">
        <f t="shared" si="65"/>
        <v>60232.56</v>
      </c>
      <c r="T411" s="54">
        <f t="shared" si="65"/>
        <v>14500</v>
      </c>
      <c r="U411" s="54">
        <f t="shared" si="65"/>
        <v>72000</v>
      </c>
      <c r="V411" s="54">
        <f t="shared" si="65"/>
        <v>14500</v>
      </c>
      <c r="W411" s="54">
        <f t="shared" si="65"/>
        <v>162264.93</v>
      </c>
      <c r="X411" s="54" t="e">
        <f t="shared" si="65"/>
        <v>#REF!</v>
      </c>
      <c r="Y411" s="54">
        <f t="shared" si="65"/>
        <v>0</v>
      </c>
      <c r="Z411" s="54">
        <f t="shared" si="65"/>
        <v>29000</v>
      </c>
      <c r="AA411" s="54">
        <f t="shared" si="65"/>
        <v>-1353.9300000000003</v>
      </c>
      <c r="AB411" s="54">
        <f t="shared" si="65"/>
        <v>162264.93</v>
      </c>
      <c r="AC411" s="54">
        <f t="shared" si="65"/>
        <v>29000</v>
      </c>
      <c r="AD411" s="261"/>
      <c r="AE411" s="261"/>
      <c r="AF411" s="49"/>
    </row>
    <row r="412" spans="1:32" ht="15" customHeight="1" x14ac:dyDescent="0.35">
      <c r="A412" s="264"/>
      <c r="B412" s="268"/>
      <c r="C412" s="268" t="s">
        <v>495</v>
      </c>
      <c r="D412" s="50" t="s">
        <v>17</v>
      </c>
      <c r="E412" s="50" t="s">
        <v>34</v>
      </c>
      <c r="F412" s="71" t="s">
        <v>496</v>
      </c>
      <c r="G412" s="27" t="s">
        <v>86</v>
      </c>
      <c r="H412" s="27">
        <v>3</v>
      </c>
      <c r="I412" s="45">
        <v>1500</v>
      </c>
      <c r="J412" s="45">
        <v>4500</v>
      </c>
      <c r="K412" s="45">
        <v>0</v>
      </c>
      <c r="L412" s="45"/>
      <c r="M412" s="45"/>
      <c r="N412" s="45"/>
      <c r="O412" s="45"/>
      <c r="P412" s="45">
        <v>0</v>
      </c>
      <c r="Q412" s="45"/>
      <c r="R412" s="45">
        <v>4500</v>
      </c>
      <c r="S412" s="58">
        <v>0</v>
      </c>
      <c r="T412" s="58"/>
      <c r="U412" s="58">
        <v>0</v>
      </c>
      <c r="V412" s="59"/>
      <c r="W412" s="31">
        <f t="shared" si="61"/>
        <v>0</v>
      </c>
      <c r="X412" s="60" t="e">
        <f>#REF!-W412</f>
        <v>#REF!</v>
      </c>
      <c r="Y412" s="60"/>
      <c r="Z412" s="33">
        <f t="shared" si="62"/>
        <v>0</v>
      </c>
      <c r="AA412" s="33">
        <f t="shared" si="63"/>
        <v>4500</v>
      </c>
      <c r="AB412" s="260">
        <f>SUM(W412:W415)</f>
        <v>78750</v>
      </c>
      <c r="AC412" s="260">
        <f>SUM(Z412:Z415)</f>
        <v>0</v>
      </c>
      <c r="AD412" s="261"/>
      <c r="AE412" s="261"/>
      <c r="AF412" s="34" t="s">
        <v>497</v>
      </c>
    </row>
    <row r="413" spans="1:32" ht="15" customHeight="1" x14ac:dyDescent="0.35">
      <c r="A413" s="264"/>
      <c r="B413" s="268"/>
      <c r="C413" s="268"/>
      <c r="D413" s="50" t="s">
        <v>17</v>
      </c>
      <c r="E413" s="50" t="s">
        <v>34</v>
      </c>
      <c r="F413" s="71" t="s">
        <v>496</v>
      </c>
      <c r="G413" s="27" t="s">
        <v>283</v>
      </c>
      <c r="H413" s="27">
        <v>21</v>
      </c>
      <c r="I413" s="45">
        <v>1920</v>
      </c>
      <c r="J413" s="45">
        <v>40320</v>
      </c>
      <c r="K413" s="45">
        <v>0</v>
      </c>
      <c r="L413" s="45"/>
      <c r="M413" s="45"/>
      <c r="N413" s="45"/>
      <c r="O413" s="45"/>
      <c r="P413" s="45">
        <v>0</v>
      </c>
      <c r="Q413" s="45"/>
      <c r="R413" s="45">
        <v>40320</v>
      </c>
      <c r="S413" s="58">
        <v>0</v>
      </c>
      <c r="T413" s="58"/>
      <c r="U413" s="58">
        <v>0</v>
      </c>
      <c r="V413" s="59"/>
      <c r="W413" s="31">
        <f t="shared" si="61"/>
        <v>0</v>
      </c>
      <c r="X413" s="60" t="e">
        <f>#REF!-W413</f>
        <v>#REF!</v>
      </c>
      <c r="Y413" s="60"/>
      <c r="Z413" s="33">
        <f t="shared" si="62"/>
        <v>0</v>
      </c>
      <c r="AA413" s="33">
        <f t="shared" si="63"/>
        <v>40320</v>
      </c>
      <c r="AB413" s="261"/>
      <c r="AC413" s="261"/>
      <c r="AD413" s="261"/>
      <c r="AE413" s="261"/>
      <c r="AF413" s="34" t="s">
        <v>498</v>
      </c>
    </row>
    <row r="414" spans="1:32" ht="15" customHeight="1" x14ac:dyDescent="0.35">
      <c r="A414" s="264"/>
      <c r="B414" s="268"/>
      <c r="C414" s="268"/>
      <c r="D414" s="50" t="s">
        <v>17</v>
      </c>
      <c r="E414" s="50" t="s">
        <v>34</v>
      </c>
      <c r="F414" s="71" t="s">
        <v>496</v>
      </c>
      <c r="G414" s="27" t="s">
        <v>86</v>
      </c>
      <c r="H414" s="27">
        <v>3</v>
      </c>
      <c r="I414" s="45">
        <v>26250</v>
      </c>
      <c r="J414" s="45">
        <v>78750</v>
      </c>
      <c r="K414" s="45">
        <v>0</v>
      </c>
      <c r="L414" s="45"/>
      <c r="M414" s="45"/>
      <c r="N414" s="45"/>
      <c r="O414" s="45"/>
      <c r="P414" s="45">
        <v>0</v>
      </c>
      <c r="Q414" s="45"/>
      <c r="R414" s="45">
        <v>78750</v>
      </c>
      <c r="S414" s="58">
        <v>39375</v>
      </c>
      <c r="T414" s="58"/>
      <c r="U414" s="58">
        <v>39375</v>
      </c>
      <c r="V414" s="59"/>
      <c r="W414" s="31">
        <f t="shared" si="61"/>
        <v>78750</v>
      </c>
      <c r="X414" s="60" t="e">
        <f>#REF!-W414</f>
        <v>#REF!</v>
      </c>
      <c r="Y414" s="60"/>
      <c r="Z414" s="33">
        <f t="shared" si="62"/>
        <v>0</v>
      </c>
      <c r="AA414" s="33">
        <f t="shared" si="63"/>
        <v>0</v>
      </c>
      <c r="AB414" s="261"/>
      <c r="AC414" s="261"/>
      <c r="AD414" s="261"/>
      <c r="AE414" s="261"/>
      <c r="AF414" s="34" t="s">
        <v>499</v>
      </c>
    </row>
    <row r="415" spans="1:32" ht="15" customHeight="1" x14ac:dyDescent="0.35">
      <c r="A415" s="264"/>
      <c r="B415" s="268"/>
      <c r="C415" s="268"/>
      <c r="D415" s="50" t="s">
        <v>17</v>
      </c>
      <c r="E415" s="50" t="s">
        <v>34</v>
      </c>
      <c r="F415" s="71" t="s">
        <v>132</v>
      </c>
      <c r="G415" s="27" t="s">
        <v>283</v>
      </c>
      <c r="H415" s="27">
        <v>2</v>
      </c>
      <c r="I415" s="45">
        <v>5000</v>
      </c>
      <c r="J415" s="45">
        <v>10000</v>
      </c>
      <c r="K415" s="45">
        <v>0</v>
      </c>
      <c r="L415" s="45"/>
      <c r="M415" s="45"/>
      <c r="N415" s="45"/>
      <c r="O415" s="45"/>
      <c r="P415" s="45">
        <v>0</v>
      </c>
      <c r="Q415" s="45"/>
      <c r="R415" s="45">
        <v>10000</v>
      </c>
      <c r="S415" s="58">
        <v>0</v>
      </c>
      <c r="T415" s="58"/>
      <c r="U415" s="58">
        <v>0</v>
      </c>
      <c r="V415" s="59"/>
      <c r="W415" s="31">
        <f t="shared" si="61"/>
        <v>0</v>
      </c>
      <c r="X415" s="60" t="e">
        <f>#REF!-W415</f>
        <v>#REF!</v>
      </c>
      <c r="Y415" s="60"/>
      <c r="Z415" s="33">
        <f t="shared" si="62"/>
        <v>0</v>
      </c>
      <c r="AA415" s="33">
        <f t="shared" si="63"/>
        <v>10000</v>
      </c>
      <c r="AB415" s="262"/>
      <c r="AC415" s="262"/>
      <c r="AD415" s="261"/>
      <c r="AE415" s="261"/>
      <c r="AF415" s="34" t="s">
        <v>500</v>
      </c>
    </row>
    <row r="416" spans="1:32" ht="15" customHeight="1" x14ac:dyDescent="0.35">
      <c r="A416" s="264"/>
      <c r="B416" s="50"/>
      <c r="C416" s="53"/>
      <c r="D416" s="53"/>
      <c r="E416" s="53"/>
      <c r="F416" s="74"/>
      <c r="G416" s="41"/>
      <c r="H416" s="41"/>
      <c r="I416" s="54"/>
      <c r="J416" s="54">
        <f>SUM(J412:J415)</f>
        <v>133570</v>
      </c>
      <c r="K416" s="54">
        <f t="shared" ref="K416:AC416" si="66">SUM(K412:K415)</f>
        <v>0</v>
      </c>
      <c r="L416" s="54">
        <f t="shared" si="66"/>
        <v>0</v>
      </c>
      <c r="M416" s="54">
        <f t="shared" si="66"/>
        <v>0</v>
      </c>
      <c r="N416" s="54">
        <f t="shared" si="66"/>
        <v>0</v>
      </c>
      <c r="O416" s="54">
        <f t="shared" si="66"/>
        <v>0</v>
      </c>
      <c r="P416" s="54">
        <f t="shared" si="66"/>
        <v>0</v>
      </c>
      <c r="Q416" s="54">
        <f t="shared" si="66"/>
        <v>0</v>
      </c>
      <c r="R416" s="54">
        <f t="shared" si="66"/>
        <v>133570</v>
      </c>
      <c r="S416" s="54">
        <f t="shared" si="66"/>
        <v>39375</v>
      </c>
      <c r="T416" s="54">
        <f t="shared" si="66"/>
        <v>0</v>
      </c>
      <c r="U416" s="54">
        <f t="shared" si="66"/>
        <v>39375</v>
      </c>
      <c r="V416" s="54">
        <f t="shared" si="66"/>
        <v>0</v>
      </c>
      <c r="W416" s="54">
        <f t="shared" si="66"/>
        <v>78750</v>
      </c>
      <c r="X416" s="54" t="e">
        <f t="shared" si="66"/>
        <v>#REF!</v>
      </c>
      <c r="Y416" s="54">
        <f t="shared" si="66"/>
        <v>0</v>
      </c>
      <c r="Z416" s="54">
        <f t="shared" si="66"/>
        <v>0</v>
      </c>
      <c r="AA416" s="54">
        <f t="shared" si="66"/>
        <v>54820</v>
      </c>
      <c r="AB416" s="54">
        <f t="shared" si="66"/>
        <v>78750</v>
      </c>
      <c r="AC416" s="54">
        <f t="shared" si="66"/>
        <v>0</v>
      </c>
      <c r="AD416" s="261"/>
      <c r="AE416" s="261"/>
      <c r="AF416" s="49"/>
    </row>
    <row r="417" spans="1:32" s="84" customFormat="1" ht="15" customHeight="1" x14ac:dyDescent="0.35">
      <c r="A417" s="264"/>
      <c r="B417" s="50"/>
      <c r="C417" s="50" t="s">
        <v>275</v>
      </c>
      <c r="D417" s="50" t="s">
        <v>17</v>
      </c>
      <c r="E417" s="50"/>
      <c r="F417" s="71" t="s">
        <v>275</v>
      </c>
      <c r="G417" s="27" t="s">
        <v>86</v>
      </c>
      <c r="H417" s="27">
        <v>1</v>
      </c>
      <c r="I417" s="45">
        <v>230229</v>
      </c>
      <c r="J417" s="45">
        <v>230229</v>
      </c>
      <c r="K417" s="45">
        <v>0</v>
      </c>
      <c r="L417" s="45"/>
      <c r="M417" s="45"/>
      <c r="N417" s="45"/>
      <c r="O417" s="45"/>
      <c r="P417" s="45"/>
      <c r="Q417" s="45"/>
      <c r="R417" s="45">
        <v>230229</v>
      </c>
      <c r="S417" s="58">
        <v>0</v>
      </c>
      <c r="T417" s="58"/>
      <c r="U417" s="58">
        <v>0</v>
      </c>
      <c r="V417" s="59"/>
      <c r="W417" s="31">
        <f t="shared" si="61"/>
        <v>0</v>
      </c>
      <c r="X417" s="60" t="e">
        <f>#REF!-W417</f>
        <v>#REF!</v>
      </c>
      <c r="Y417" s="60"/>
      <c r="Z417" s="33">
        <f t="shared" si="62"/>
        <v>0</v>
      </c>
      <c r="AA417" s="33">
        <f t="shared" si="63"/>
        <v>230229</v>
      </c>
      <c r="AB417" s="67"/>
      <c r="AC417" s="67"/>
      <c r="AD417" s="262"/>
      <c r="AE417" s="262"/>
      <c r="AF417" s="34" t="s">
        <v>501</v>
      </c>
    </row>
    <row r="418" spans="1:32" ht="15" customHeight="1" x14ac:dyDescent="0.35">
      <c r="A418" s="257" t="s">
        <v>277</v>
      </c>
      <c r="B418" s="257"/>
      <c r="C418" s="257"/>
      <c r="D418" s="257"/>
      <c r="E418" s="257"/>
      <c r="F418" s="257"/>
      <c r="G418" s="257"/>
      <c r="H418" s="257"/>
      <c r="I418" s="257"/>
      <c r="J418" s="69">
        <f>J390+J403+J411+J416+J417</f>
        <v>1144407</v>
      </c>
      <c r="K418" s="69">
        <f t="shared" ref="K418:AC418" si="67">K390+K403+K411+K416+K417</f>
        <v>56000</v>
      </c>
      <c r="L418" s="69">
        <f t="shared" si="67"/>
        <v>160646.12</v>
      </c>
      <c r="M418" s="69">
        <f t="shared" si="67"/>
        <v>0</v>
      </c>
      <c r="N418" s="69">
        <f t="shared" si="67"/>
        <v>12595</v>
      </c>
      <c r="O418" s="69">
        <f t="shared" si="67"/>
        <v>0</v>
      </c>
      <c r="P418" s="69">
        <f t="shared" si="67"/>
        <v>13353.989999999998</v>
      </c>
      <c r="Q418" s="69">
        <f t="shared" si="67"/>
        <v>0</v>
      </c>
      <c r="R418" s="69">
        <f t="shared" si="67"/>
        <v>957811.89</v>
      </c>
      <c r="S418" s="69">
        <f t="shared" si="67"/>
        <v>255258.78</v>
      </c>
      <c r="T418" s="69">
        <f t="shared" si="67"/>
        <v>28500</v>
      </c>
      <c r="U418" s="69">
        <f t="shared" si="67"/>
        <v>486357.36</v>
      </c>
      <c r="V418" s="69">
        <f t="shared" si="67"/>
        <v>27500</v>
      </c>
      <c r="W418" s="69">
        <f t="shared" si="67"/>
        <v>928211.25</v>
      </c>
      <c r="X418" s="69" t="e">
        <f t="shared" si="67"/>
        <v>#REF!</v>
      </c>
      <c r="Y418" s="69">
        <f t="shared" si="67"/>
        <v>0</v>
      </c>
      <c r="Z418" s="69">
        <f t="shared" si="67"/>
        <v>56000</v>
      </c>
      <c r="AA418" s="69">
        <f t="shared" si="67"/>
        <v>216195.75</v>
      </c>
      <c r="AB418" s="69">
        <f>AB390+AB403+AB411+AB416+AB417</f>
        <v>928211.25</v>
      </c>
      <c r="AC418" s="69">
        <f t="shared" si="67"/>
        <v>56000</v>
      </c>
      <c r="AD418" s="69">
        <f>AD380+AD403+AD411+AD416+AD417</f>
        <v>928211.25</v>
      </c>
      <c r="AE418" s="69">
        <f>AE380+AE403+AE411+AE416+AE417</f>
        <v>56000</v>
      </c>
      <c r="AF418" s="69">
        <f>SUM(AF380:AF417)</f>
        <v>0</v>
      </c>
    </row>
    <row r="419" spans="1:32" ht="15" customHeight="1" x14ac:dyDescent="0.35">
      <c r="A419" s="264" t="s">
        <v>502</v>
      </c>
      <c r="B419" s="265" t="s">
        <v>503</v>
      </c>
      <c r="C419" s="266"/>
      <c r="D419" s="70" t="s">
        <v>17</v>
      </c>
      <c r="E419" s="70" t="s">
        <v>161</v>
      </c>
      <c r="F419" s="71" t="s">
        <v>28</v>
      </c>
      <c r="G419" s="70" t="s">
        <v>29</v>
      </c>
      <c r="H419" s="70">
        <v>12</v>
      </c>
      <c r="I419" s="70"/>
      <c r="J419" s="85">
        <v>354776</v>
      </c>
      <c r="K419" s="70">
        <v>0</v>
      </c>
      <c r="L419" s="86">
        <v>393030.79</v>
      </c>
      <c r="M419" s="86"/>
      <c r="N419" s="87"/>
      <c r="O419" s="87"/>
      <c r="P419" s="87">
        <v>0</v>
      </c>
      <c r="Q419" s="87"/>
      <c r="R419" s="87">
        <v>-38254.789999999979</v>
      </c>
      <c r="S419" s="61">
        <v>0</v>
      </c>
      <c r="T419" s="61"/>
      <c r="U419" s="61">
        <v>0</v>
      </c>
      <c r="V419" s="62"/>
      <c r="W419" s="31">
        <f t="shared" si="61"/>
        <v>393030.79</v>
      </c>
      <c r="X419" s="60" t="e">
        <f>#REF!-W419</f>
        <v>#REF!</v>
      </c>
      <c r="Y419" s="60"/>
      <c r="Z419" s="33">
        <f t="shared" si="62"/>
        <v>0</v>
      </c>
      <c r="AA419" s="33">
        <f t="shared" si="63"/>
        <v>-38254.789999999979</v>
      </c>
      <c r="AB419" s="260">
        <f>SUM(W419:W431)</f>
        <v>1169400</v>
      </c>
      <c r="AC419" s="260">
        <f>SUM(Z419:Z431)</f>
        <v>0</v>
      </c>
      <c r="AD419" s="260">
        <f>AB432+AB442+AB443</f>
        <v>1817400</v>
      </c>
      <c r="AE419" s="260">
        <f>AC432+AC442+AC443</f>
        <v>76875.48</v>
      </c>
      <c r="AF419" s="88" t="s">
        <v>504</v>
      </c>
    </row>
    <row r="420" spans="1:32" ht="15" customHeight="1" x14ac:dyDescent="0.35">
      <c r="A420" s="264"/>
      <c r="B420" s="265"/>
      <c r="C420" s="266"/>
      <c r="D420" s="50" t="s">
        <v>17</v>
      </c>
      <c r="E420" s="50" t="s">
        <v>161</v>
      </c>
      <c r="F420" s="71" t="s">
        <v>28</v>
      </c>
      <c r="G420" s="27" t="s">
        <v>29</v>
      </c>
      <c r="H420" s="27">
        <v>6</v>
      </c>
      <c r="I420" s="45">
        <v>8000</v>
      </c>
      <c r="J420" s="45">
        <v>545000</v>
      </c>
      <c r="K420" s="45">
        <v>0</v>
      </c>
      <c r="L420" s="37"/>
      <c r="M420" s="37"/>
      <c r="N420" s="45">
        <v>98694.63</v>
      </c>
      <c r="O420" s="45"/>
      <c r="P420" s="45">
        <v>125213.72</v>
      </c>
      <c r="Q420" s="45"/>
      <c r="R420" s="45">
        <v>321091.65000000002</v>
      </c>
      <c r="S420" s="61">
        <v>0</v>
      </c>
      <c r="T420" s="61"/>
      <c r="U420" s="61">
        <v>0</v>
      </c>
      <c r="V420" s="62"/>
      <c r="W420" s="31">
        <f t="shared" si="61"/>
        <v>223908.35</v>
      </c>
      <c r="X420" s="60" t="e">
        <f>#REF!-W420</f>
        <v>#REF!</v>
      </c>
      <c r="Y420" s="60"/>
      <c r="Z420" s="33">
        <f t="shared" si="62"/>
        <v>0</v>
      </c>
      <c r="AA420" s="33">
        <f t="shared" si="63"/>
        <v>321091.65000000002</v>
      </c>
      <c r="AB420" s="261"/>
      <c r="AC420" s="261"/>
      <c r="AD420" s="261"/>
      <c r="AE420" s="261"/>
      <c r="AF420" s="34" t="s">
        <v>505</v>
      </c>
    </row>
    <row r="421" spans="1:32" ht="15" customHeight="1" x14ac:dyDescent="0.35">
      <c r="A421" s="264"/>
      <c r="B421" s="265"/>
      <c r="C421" s="266"/>
      <c r="D421" s="180" t="s">
        <v>17</v>
      </c>
      <c r="E421" s="180" t="s">
        <v>161</v>
      </c>
      <c r="F421" s="190" t="s">
        <v>506</v>
      </c>
      <c r="G421" s="182"/>
      <c r="H421" s="182"/>
      <c r="I421" s="186"/>
      <c r="J421" s="186"/>
      <c r="K421" s="186"/>
      <c r="L421" s="191"/>
      <c r="M421" s="191"/>
      <c r="N421" s="186"/>
      <c r="O421" s="186"/>
      <c r="P421" s="186"/>
      <c r="Q421" s="186"/>
      <c r="R421" s="186"/>
      <c r="S421" s="184">
        <v>115000</v>
      </c>
      <c r="T421" s="184"/>
      <c r="U421" s="184">
        <v>110000</v>
      </c>
      <c r="V421" s="185"/>
      <c r="W421" s="31">
        <f t="shared" si="61"/>
        <v>225000</v>
      </c>
      <c r="X421" s="60"/>
      <c r="Y421" s="60"/>
      <c r="Z421" s="33">
        <f t="shared" si="62"/>
        <v>0</v>
      </c>
      <c r="AA421" s="33">
        <f t="shared" si="63"/>
        <v>-225000</v>
      </c>
      <c r="AB421" s="261"/>
      <c r="AC421" s="261"/>
      <c r="AD421" s="261"/>
      <c r="AE421" s="261"/>
      <c r="AF421" s="178" t="s">
        <v>507</v>
      </c>
    </row>
    <row r="422" spans="1:32" ht="15" customHeight="1" x14ac:dyDescent="0.35">
      <c r="A422" s="264"/>
      <c r="B422" s="265"/>
      <c r="C422" s="266"/>
      <c r="D422" s="50" t="s">
        <v>17</v>
      </c>
      <c r="E422" s="50" t="s">
        <v>161</v>
      </c>
      <c r="F422" s="71" t="s">
        <v>28</v>
      </c>
      <c r="G422" s="27" t="s">
        <v>29</v>
      </c>
      <c r="H422" s="27">
        <v>6</v>
      </c>
      <c r="I422" s="45">
        <v>810</v>
      </c>
      <c r="J422" s="45">
        <v>100000</v>
      </c>
      <c r="K422" s="45">
        <v>0</v>
      </c>
      <c r="L422" s="38"/>
      <c r="M422" s="38"/>
      <c r="N422" s="45">
        <v>25752.2</v>
      </c>
      <c r="O422" s="45"/>
      <c r="P422" s="45">
        <v>27920.01</v>
      </c>
      <c r="Q422" s="45"/>
      <c r="R422" s="45">
        <v>46327.79</v>
      </c>
      <c r="S422" s="61">
        <v>26000</v>
      </c>
      <c r="T422" s="61"/>
      <c r="U422" s="61">
        <v>20500</v>
      </c>
      <c r="V422" s="62"/>
      <c r="W422" s="31">
        <f t="shared" si="61"/>
        <v>100172.20999999999</v>
      </c>
      <c r="X422" s="60" t="e">
        <f>#REF!-W422</f>
        <v>#REF!</v>
      </c>
      <c r="Y422" s="60"/>
      <c r="Z422" s="33">
        <f t="shared" si="62"/>
        <v>0</v>
      </c>
      <c r="AA422" s="33">
        <f t="shared" si="63"/>
        <v>-172.20999999999185</v>
      </c>
      <c r="AB422" s="261"/>
      <c r="AC422" s="261"/>
      <c r="AD422" s="261"/>
      <c r="AE422" s="261"/>
      <c r="AF422" s="34" t="s">
        <v>508</v>
      </c>
    </row>
    <row r="423" spans="1:32" ht="15" customHeight="1" x14ac:dyDescent="0.35">
      <c r="A423" s="264"/>
      <c r="B423" s="265"/>
      <c r="C423" s="266"/>
      <c r="D423" s="180" t="s">
        <v>17</v>
      </c>
      <c r="E423" s="180" t="s">
        <v>161</v>
      </c>
      <c r="F423" s="190" t="s">
        <v>28</v>
      </c>
      <c r="G423" s="182"/>
      <c r="H423" s="182"/>
      <c r="I423" s="186"/>
      <c r="J423" s="186"/>
      <c r="K423" s="186"/>
      <c r="L423" s="192"/>
      <c r="M423" s="192"/>
      <c r="N423" s="186"/>
      <c r="O423" s="186"/>
      <c r="P423" s="186"/>
      <c r="Q423" s="186"/>
      <c r="R423" s="186"/>
      <c r="S423" s="184"/>
      <c r="T423" s="184"/>
      <c r="U423" s="184">
        <v>40000</v>
      </c>
      <c r="V423" s="185"/>
      <c r="W423" s="31">
        <f t="shared" si="61"/>
        <v>40000</v>
      </c>
      <c r="X423" s="60"/>
      <c r="Y423" s="60"/>
      <c r="Z423" s="33">
        <f t="shared" si="62"/>
        <v>0</v>
      </c>
      <c r="AA423" s="33">
        <f t="shared" si="63"/>
        <v>-40000</v>
      </c>
      <c r="AB423" s="261"/>
      <c r="AC423" s="261"/>
      <c r="AD423" s="261"/>
      <c r="AE423" s="261"/>
      <c r="AF423" s="178" t="s">
        <v>509</v>
      </c>
    </row>
    <row r="424" spans="1:32" ht="15" customHeight="1" x14ac:dyDescent="0.35">
      <c r="A424" s="264"/>
      <c r="B424" s="265"/>
      <c r="C424" s="266"/>
      <c r="D424" s="50" t="s">
        <v>17</v>
      </c>
      <c r="E424" s="50" t="s">
        <v>161</v>
      </c>
      <c r="F424" s="71" t="s">
        <v>69</v>
      </c>
      <c r="G424" s="27" t="s">
        <v>55</v>
      </c>
      <c r="H424" s="27">
        <v>32</v>
      </c>
      <c r="I424" s="45">
        <v>1100</v>
      </c>
      <c r="J424" s="45">
        <v>46252</v>
      </c>
      <c r="K424" s="45">
        <v>0</v>
      </c>
      <c r="L424" s="45">
        <v>1122.44</v>
      </c>
      <c r="M424" s="45"/>
      <c r="N424" s="45">
        <v>886.44</v>
      </c>
      <c r="O424" s="45"/>
      <c r="P424" s="45">
        <v>10792.95</v>
      </c>
      <c r="Q424" s="45"/>
      <c r="R424" s="45">
        <v>33450.17</v>
      </c>
      <c r="S424" s="61">
        <v>10000</v>
      </c>
      <c r="T424" s="61"/>
      <c r="U424" s="61">
        <v>10000</v>
      </c>
      <c r="V424" s="62"/>
      <c r="W424" s="31">
        <f t="shared" si="61"/>
        <v>32801.83</v>
      </c>
      <c r="X424" s="60" t="e">
        <f>#REF!-W424</f>
        <v>#REF!</v>
      </c>
      <c r="Y424" s="60"/>
      <c r="Z424" s="33">
        <f t="shared" si="62"/>
        <v>0</v>
      </c>
      <c r="AA424" s="33">
        <f t="shared" si="63"/>
        <v>13450.169999999998</v>
      </c>
      <c r="AB424" s="261"/>
      <c r="AC424" s="261"/>
      <c r="AD424" s="261"/>
      <c r="AE424" s="261"/>
      <c r="AF424" s="88" t="s">
        <v>510</v>
      </c>
    </row>
    <row r="425" spans="1:32" ht="15" customHeight="1" x14ac:dyDescent="0.35">
      <c r="A425" s="264"/>
      <c r="B425" s="265"/>
      <c r="C425" s="266"/>
      <c r="D425" s="50" t="s">
        <v>17</v>
      </c>
      <c r="E425" s="50" t="s">
        <v>161</v>
      </c>
      <c r="F425" s="71" t="s">
        <v>36</v>
      </c>
      <c r="G425" s="27"/>
      <c r="H425" s="27"/>
      <c r="I425" s="45"/>
      <c r="J425" s="45">
        <v>0</v>
      </c>
      <c r="K425" s="45">
        <v>0</v>
      </c>
      <c r="L425" s="45">
        <v>24389.51</v>
      </c>
      <c r="M425" s="45"/>
      <c r="N425" s="45"/>
      <c r="O425" s="45"/>
      <c r="P425" s="45">
        <v>0</v>
      </c>
      <c r="Q425" s="45"/>
      <c r="R425" s="45">
        <v>-24389.51</v>
      </c>
      <c r="S425" s="61"/>
      <c r="T425" s="61"/>
      <c r="U425" s="61"/>
      <c r="V425" s="62"/>
      <c r="W425" s="31">
        <f t="shared" si="61"/>
        <v>24389.51</v>
      </c>
      <c r="X425" s="60" t="e">
        <f>#REF!-W425</f>
        <v>#REF!</v>
      </c>
      <c r="Y425" s="60"/>
      <c r="Z425" s="33">
        <f t="shared" si="62"/>
        <v>0</v>
      </c>
      <c r="AA425" s="33">
        <f t="shared" si="63"/>
        <v>-24389.51</v>
      </c>
      <c r="AB425" s="261"/>
      <c r="AC425" s="261"/>
      <c r="AD425" s="261"/>
      <c r="AE425" s="261"/>
      <c r="AF425" s="88"/>
    </row>
    <row r="426" spans="1:32" ht="15" customHeight="1" x14ac:dyDescent="0.35">
      <c r="A426" s="264"/>
      <c r="B426" s="265"/>
      <c r="C426" s="266"/>
      <c r="D426" s="50" t="s">
        <v>17</v>
      </c>
      <c r="E426" s="50" t="s">
        <v>161</v>
      </c>
      <c r="F426" s="71" t="s">
        <v>73</v>
      </c>
      <c r="G426" s="27" t="s">
        <v>86</v>
      </c>
      <c r="H426" s="27"/>
      <c r="I426" s="45">
        <v>0</v>
      </c>
      <c r="J426" s="45">
        <v>35675</v>
      </c>
      <c r="K426" s="45">
        <v>0</v>
      </c>
      <c r="L426" s="45">
        <v>14249.93</v>
      </c>
      <c r="M426" s="45"/>
      <c r="N426" s="45">
        <v>22783.47</v>
      </c>
      <c r="O426" s="45"/>
      <c r="P426" s="45">
        <v>4358.16</v>
      </c>
      <c r="Q426" s="45"/>
      <c r="R426" s="45">
        <v>-5716.5599999999977</v>
      </c>
      <c r="S426" s="61">
        <v>4500</v>
      </c>
      <c r="T426" s="61"/>
      <c r="U426" s="61">
        <v>4600</v>
      </c>
      <c r="V426" s="62"/>
      <c r="W426" s="31">
        <f t="shared" si="61"/>
        <v>50491.56</v>
      </c>
      <c r="X426" s="60" t="e">
        <f>#REF!-W426</f>
        <v>#REF!</v>
      </c>
      <c r="Y426" s="60"/>
      <c r="Z426" s="33">
        <f t="shared" si="62"/>
        <v>0</v>
      </c>
      <c r="AA426" s="33">
        <f t="shared" si="63"/>
        <v>-14816.559999999998</v>
      </c>
      <c r="AB426" s="261"/>
      <c r="AC426" s="261"/>
      <c r="AD426" s="261"/>
      <c r="AE426" s="261"/>
      <c r="AF426" s="34" t="s">
        <v>511</v>
      </c>
    </row>
    <row r="427" spans="1:32" ht="15" customHeight="1" x14ac:dyDescent="0.35">
      <c r="A427" s="264"/>
      <c r="B427" s="265"/>
      <c r="C427" s="266"/>
      <c r="D427" s="50" t="s">
        <v>17</v>
      </c>
      <c r="E427" s="50" t="s">
        <v>161</v>
      </c>
      <c r="F427" s="71" t="s">
        <v>61</v>
      </c>
      <c r="G427" s="27" t="s">
        <v>62</v>
      </c>
      <c r="H427" s="27">
        <v>6</v>
      </c>
      <c r="I427" s="45">
        <v>0</v>
      </c>
      <c r="J427" s="45">
        <v>16240</v>
      </c>
      <c r="K427" s="45">
        <v>0</v>
      </c>
      <c r="L427" s="45">
        <v>20059.080000000002</v>
      </c>
      <c r="M427" s="45"/>
      <c r="N427" s="45">
        <v>7960.98</v>
      </c>
      <c r="O427" s="45"/>
      <c r="P427" s="45">
        <v>0</v>
      </c>
      <c r="Q427" s="45"/>
      <c r="R427" s="45">
        <v>-11780.060000000001</v>
      </c>
      <c r="S427" s="61"/>
      <c r="T427" s="61"/>
      <c r="U427" s="61"/>
      <c r="V427" s="62"/>
      <c r="W427" s="31">
        <f t="shared" si="61"/>
        <v>28020.06</v>
      </c>
      <c r="X427" s="60" t="e">
        <f>#REF!-W427</f>
        <v>#REF!</v>
      </c>
      <c r="Y427" s="60"/>
      <c r="Z427" s="33">
        <f t="shared" si="62"/>
        <v>0</v>
      </c>
      <c r="AA427" s="33">
        <f t="shared" si="63"/>
        <v>-11780.060000000001</v>
      </c>
      <c r="AB427" s="261"/>
      <c r="AC427" s="261"/>
      <c r="AD427" s="261"/>
      <c r="AE427" s="261"/>
      <c r="AF427" s="34" t="s">
        <v>512</v>
      </c>
    </row>
    <row r="428" spans="1:32" ht="15" customHeight="1" x14ac:dyDescent="0.35">
      <c r="A428" s="264"/>
      <c r="B428" s="265"/>
      <c r="C428" s="266"/>
      <c r="D428" s="50" t="s">
        <v>17</v>
      </c>
      <c r="E428" s="50" t="s">
        <v>161</v>
      </c>
      <c r="F428" s="71" t="s">
        <v>513</v>
      </c>
      <c r="G428" s="27" t="s">
        <v>86</v>
      </c>
      <c r="H428" s="27">
        <v>4</v>
      </c>
      <c r="I428" s="45">
        <v>2500</v>
      </c>
      <c r="J428" s="45">
        <v>10000</v>
      </c>
      <c r="K428" s="45">
        <v>0</v>
      </c>
      <c r="L428" s="45">
        <v>2050.6799999999998</v>
      </c>
      <c r="M428" s="45"/>
      <c r="N428" s="45"/>
      <c r="O428" s="45"/>
      <c r="P428" s="45">
        <v>0</v>
      </c>
      <c r="Q428" s="45"/>
      <c r="R428" s="45">
        <v>7949.32</v>
      </c>
      <c r="S428" s="61">
        <v>4000</v>
      </c>
      <c r="T428" s="61"/>
      <c r="U428" s="61">
        <v>3500</v>
      </c>
      <c r="V428" s="62"/>
      <c r="W428" s="31">
        <f t="shared" si="61"/>
        <v>9550.68</v>
      </c>
      <c r="X428" s="60" t="e">
        <f>#REF!-W428</f>
        <v>#REF!</v>
      </c>
      <c r="Y428" s="60"/>
      <c r="Z428" s="33">
        <f t="shared" si="62"/>
        <v>0</v>
      </c>
      <c r="AA428" s="33">
        <f t="shared" si="63"/>
        <v>449.31999999999971</v>
      </c>
      <c r="AB428" s="261"/>
      <c r="AC428" s="261"/>
      <c r="AD428" s="261"/>
      <c r="AE428" s="261"/>
      <c r="AF428" s="88" t="s">
        <v>514</v>
      </c>
    </row>
    <row r="429" spans="1:32" ht="15" customHeight="1" x14ac:dyDescent="0.35">
      <c r="A429" s="264"/>
      <c r="B429" s="265"/>
      <c r="C429" s="266"/>
      <c r="D429" s="50" t="s">
        <v>17</v>
      </c>
      <c r="E429" s="50" t="s">
        <v>161</v>
      </c>
      <c r="F429" s="71" t="s">
        <v>53</v>
      </c>
      <c r="G429" s="27" t="s">
        <v>86</v>
      </c>
      <c r="H429" s="27">
        <v>1</v>
      </c>
      <c r="I429" s="45">
        <v>2826</v>
      </c>
      <c r="J429" s="45">
        <v>2827</v>
      </c>
      <c r="K429" s="45">
        <v>0</v>
      </c>
      <c r="L429" s="45"/>
      <c r="M429" s="45"/>
      <c r="N429" s="45">
        <v>1440.55</v>
      </c>
      <c r="O429" s="45"/>
      <c r="P429" s="45">
        <v>4585.51</v>
      </c>
      <c r="Q429" s="45"/>
      <c r="R429" s="45">
        <v>-3199.0600000000004</v>
      </c>
      <c r="S429" s="61"/>
      <c r="T429" s="61"/>
      <c r="U429" s="61"/>
      <c r="V429" s="62"/>
      <c r="W429" s="31">
        <f t="shared" si="61"/>
        <v>6026.06</v>
      </c>
      <c r="X429" s="60" t="e">
        <f>#REF!-W429</f>
        <v>#REF!</v>
      </c>
      <c r="Y429" s="60"/>
      <c r="Z429" s="33">
        <f t="shared" si="62"/>
        <v>0</v>
      </c>
      <c r="AA429" s="33">
        <f t="shared" si="63"/>
        <v>-3199.0600000000004</v>
      </c>
      <c r="AB429" s="261"/>
      <c r="AC429" s="261"/>
      <c r="AD429" s="261"/>
      <c r="AE429" s="261"/>
      <c r="AF429" s="34" t="s">
        <v>515</v>
      </c>
    </row>
    <row r="430" spans="1:32" ht="15" customHeight="1" x14ac:dyDescent="0.35">
      <c r="A430" s="264"/>
      <c r="B430" s="265"/>
      <c r="C430" s="266"/>
      <c r="D430" s="50" t="s">
        <v>17</v>
      </c>
      <c r="E430" s="50" t="s">
        <v>161</v>
      </c>
      <c r="F430" s="71" t="s">
        <v>39</v>
      </c>
      <c r="G430" s="27" t="s">
        <v>40</v>
      </c>
      <c r="H430" s="27">
        <v>1</v>
      </c>
      <c r="I430" s="45">
        <v>44255.61</v>
      </c>
      <c r="J430" s="45">
        <v>44255</v>
      </c>
      <c r="K430" s="45">
        <v>0</v>
      </c>
      <c r="L430" s="45">
        <v>23359.78</v>
      </c>
      <c r="M430" s="45"/>
      <c r="N430" s="45"/>
      <c r="O430" s="45"/>
      <c r="P430" s="45">
        <v>1253.6399999999999</v>
      </c>
      <c r="Q430" s="45"/>
      <c r="R430" s="45">
        <v>19641.580000000002</v>
      </c>
      <c r="S430" s="61">
        <v>0</v>
      </c>
      <c r="T430" s="61"/>
      <c r="U430" s="61">
        <v>0</v>
      </c>
      <c r="V430" s="62"/>
      <c r="W430" s="31">
        <f t="shared" si="61"/>
        <v>24613.42</v>
      </c>
      <c r="X430" s="60" t="e">
        <f>#REF!-W430</f>
        <v>#REF!</v>
      </c>
      <c r="Y430" s="60"/>
      <c r="Z430" s="33">
        <f t="shared" si="62"/>
        <v>0</v>
      </c>
      <c r="AA430" s="33">
        <f t="shared" si="63"/>
        <v>19641.580000000002</v>
      </c>
      <c r="AB430" s="261"/>
      <c r="AC430" s="261"/>
      <c r="AD430" s="261"/>
      <c r="AE430" s="261"/>
      <c r="AF430" s="34" t="s">
        <v>516</v>
      </c>
    </row>
    <row r="431" spans="1:32" ht="15" customHeight="1" x14ac:dyDescent="0.35">
      <c r="A431" s="264"/>
      <c r="B431" s="265"/>
      <c r="C431" s="266"/>
      <c r="D431" s="50" t="s">
        <v>17</v>
      </c>
      <c r="E431" s="50" t="s">
        <v>161</v>
      </c>
      <c r="F431" s="71" t="s">
        <v>39</v>
      </c>
      <c r="G431" s="27" t="s">
        <v>257</v>
      </c>
      <c r="H431" s="27">
        <v>5</v>
      </c>
      <c r="I431" s="45">
        <v>2250</v>
      </c>
      <c r="J431" s="45">
        <v>14375</v>
      </c>
      <c r="K431" s="45">
        <v>0</v>
      </c>
      <c r="L431" s="45"/>
      <c r="M431" s="45"/>
      <c r="N431" s="45">
        <v>1260.44</v>
      </c>
      <c r="O431" s="45"/>
      <c r="P431" s="45">
        <v>5568.24</v>
      </c>
      <c r="Q431" s="45"/>
      <c r="R431" s="45">
        <v>7546.32</v>
      </c>
      <c r="S431" s="61">
        <v>4566.8500000000004</v>
      </c>
      <c r="T431" s="61"/>
      <c r="U431" s="61">
        <v>0</v>
      </c>
      <c r="V431" s="62"/>
      <c r="W431" s="31">
        <f t="shared" si="61"/>
        <v>11395.53</v>
      </c>
      <c r="X431" s="60" t="e">
        <f>#REF!-W431</f>
        <v>#REF!</v>
      </c>
      <c r="Y431" s="60"/>
      <c r="Z431" s="33">
        <f t="shared" si="62"/>
        <v>0</v>
      </c>
      <c r="AA431" s="33">
        <f t="shared" si="63"/>
        <v>2979.4699999999993</v>
      </c>
      <c r="AB431" s="262"/>
      <c r="AC431" s="262"/>
      <c r="AD431" s="261"/>
      <c r="AE431" s="261"/>
      <c r="AF431" s="88" t="s">
        <v>517</v>
      </c>
    </row>
    <row r="432" spans="1:32" ht="15" customHeight="1" x14ac:dyDescent="0.35">
      <c r="A432" s="264"/>
      <c r="B432" s="265"/>
      <c r="C432" s="266"/>
      <c r="D432" s="263"/>
      <c r="E432" s="263"/>
      <c r="F432" s="263"/>
      <c r="G432" s="263"/>
      <c r="H432" s="263"/>
      <c r="I432" s="263"/>
      <c r="J432" s="54">
        <f>SUM(J419:J431)</f>
        <v>1169400</v>
      </c>
      <c r="K432" s="54">
        <f t="shared" ref="K432:AC432" si="68">SUM(K419:K431)</f>
        <v>0</v>
      </c>
      <c r="L432" s="54">
        <f t="shared" si="68"/>
        <v>478262.20999999996</v>
      </c>
      <c r="M432" s="54">
        <f t="shared" si="68"/>
        <v>0</v>
      </c>
      <c r="N432" s="54">
        <f t="shared" si="68"/>
        <v>158778.71</v>
      </c>
      <c r="O432" s="54">
        <f t="shared" si="68"/>
        <v>0</v>
      </c>
      <c r="P432" s="54">
        <f t="shared" si="68"/>
        <v>179692.23000000004</v>
      </c>
      <c r="Q432" s="54">
        <f t="shared" si="68"/>
        <v>0</v>
      </c>
      <c r="R432" s="54">
        <f t="shared" si="68"/>
        <v>352666.85000000003</v>
      </c>
      <c r="S432" s="54">
        <f t="shared" si="68"/>
        <v>164066.85</v>
      </c>
      <c r="T432" s="54">
        <f t="shared" si="68"/>
        <v>0</v>
      </c>
      <c r="U432" s="54">
        <f t="shared" si="68"/>
        <v>188600</v>
      </c>
      <c r="V432" s="54">
        <f t="shared" si="68"/>
        <v>0</v>
      </c>
      <c r="W432" s="54">
        <f t="shared" si="68"/>
        <v>1169400</v>
      </c>
      <c r="X432" s="54" t="e">
        <f t="shared" si="68"/>
        <v>#REF!</v>
      </c>
      <c r="Y432" s="54">
        <f t="shared" si="68"/>
        <v>0</v>
      </c>
      <c r="Z432" s="54">
        <f t="shared" si="68"/>
        <v>0</v>
      </c>
      <c r="AA432" s="54">
        <f t="shared" si="68"/>
        <v>5.2750692702829838E-11</v>
      </c>
      <c r="AB432" s="54">
        <f t="shared" si="68"/>
        <v>1169400</v>
      </c>
      <c r="AC432" s="54">
        <f t="shared" si="68"/>
        <v>0</v>
      </c>
      <c r="AD432" s="261"/>
      <c r="AE432" s="261"/>
      <c r="AF432" s="49" t="s">
        <v>2</v>
      </c>
    </row>
    <row r="433" spans="1:32" ht="15" customHeight="1" x14ac:dyDescent="0.35">
      <c r="A433" s="264"/>
      <c r="B433" s="265"/>
      <c r="C433" s="266"/>
      <c r="D433" s="50" t="s">
        <v>17</v>
      </c>
      <c r="E433" s="50" t="s">
        <v>34</v>
      </c>
      <c r="F433" s="71" t="s">
        <v>28</v>
      </c>
      <c r="G433" s="27" t="s">
        <v>29</v>
      </c>
      <c r="H433" s="27">
        <v>6</v>
      </c>
      <c r="I433" s="45">
        <v>3533.3330000000001</v>
      </c>
      <c r="J433" s="45">
        <v>250333</v>
      </c>
      <c r="K433" s="45">
        <v>0</v>
      </c>
      <c r="L433" s="45">
        <v>56099.77</v>
      </c>
      <c r="M433" s="45"/>
      <c r="N433" s="45">
        <v>42000.1</v>
      </c>
      <c r="O433" s="45"/>
      <c r="P433" s="45">
        <v>42232.14</v>
      </c>
      <c r="Q433" s="45">
        <v>43870.84</v>
      </c>
      <c r="R433" s="45">
        <v>110000.98999999999</v>
      </c>
      <c r="S433" s="61">
        <v>40000</v>
      </c>
      <c r="T433" s="61"/>
      <c r="U433" s="61">
        <v>46000</v>
      </c>
      <c r="V433" s="62"/>
      <c r="W433" s="31">
        <f t="shared" si="61"/>
        <v>226332.01</v>
      </c>
      <c r="X433" s="76" t="e">
        <f>#REF!-W433</f>
        <v>#REF!</v>
      </c>
      <c r="Y433" s="76"/>
      <c r="Z433" s="33">
        <f t="shared" si="62"/>
        <v>43870.84</v>
      </c>
      <c r="AA433" s="33">
        <f t="shared" si="63"/>
        <v>24000.989999999991</v>
      </c>
      <c r="AB433" s="260">
        <f>SUM(W433:W441)</f>
        <v>648000</v>
      </c>
      <c r="AC433" s="260">
        <f>SUM(Z433:Z441)</f>
        <v>76875.48</v>
      </c>
      <c r="AD433" s="261"/>
      <c r="AE433" s="261"/>
      <c r="AF433" s="34" t="s">
        <v>518</v>
      </c>
    </row>
    <row r="434" spans="1:32" ht="15" customHeight="1" x14ac:dyDescent="0.35">
      <c r="A434" s="264"/>
      <c r="B434" s="265"/>
      <c r="C434" s="266"/>
      <c r="D434" s="50" t="s">
        <v>17</v>
      </c>
      <c r="E434" s="50" t="s">
        <v>34</v>
      </c>
      <c r="F434" s="71" t="s">
        <v>28</v>
      </c>
      <c r="G434" s="27" t="s">
        <v>29</v>
      </c>
      <c r="H434" s="27">
        <v>6</v>
      </c>
      <c r="I434" s="45">
        <v>1963</v>
      </c>
      <c r="J434" s="45">
        <v>129567</v>
      </c>
      <c r="K434" s="45">
        <v>0</v>
      </c>
      <c r="L434" s="45">
        <v>25525.119999999999</v>
      </c>
      <c r="M434" s="45"/>
      <c r="N434" s="45">
        <v>23462.54</v>
      </c>
      <c r="O434" s="45"/>
      <c r="P434" s="45">
        <v>23462.48</v>
      </c>
      <c r="Q434" s="45">
        <v>0</v>
      </c>
      <c r="R434" s="45">
        <v>57116.86</v>
      </c>
      <c r="S434" s="61">
        <v>22000</v>
      </c>
      <c r="T434" s="61"/>
      <c r="U434" s="61">
        <v>26000</v>
      </c>
      <c r="V434" s="62"/>
      <c r="W434" s="31">
        <f t="shared" si="61"/>
        <v>120450.14</v>
      </c>
      <c r="X434" s="76" t="e">
        <f>#REF!-W434</f>
        <v>#REF!</v>
      </c>
      <c r="Y434" s="76"/>
      <c r="Z434" s="33">
        <f t="shared" si="62"/>
        <v>0</v>
      </c>
      <c r="AA434" s="33">
        <f t="shared" si="63"/>
        <v>9116.86</v>
      </c>
      <c r="AB434" s="261"/>
      <c r="AC434" s="261"/>
      <c r="AD434" s="261"/>
      <c r="AE434" s="261"/>
      <c r="AF434" s="88" t="s">
        <v>519</v>
      </c>
    </row>
    <row r="435" spans="1:32" ht="16" customHeight="1" x14ac:dyDescent="0.35">
      <c r="A435" s="264"/>
      <c r="B435" s="265"/>
      <c r="C435" s="266"/>
      <c r="D435" s="50" t="s">
        <v>17</v>
      </c>
      <c r="E435" s="50" t="s">
        <v>34</v>
      </c>
      <c r="F435" s="71" t="s">
        <v>28</v>
      </c>
      <c r="G435" s="27" t="s">
        <v>29</v>
      </c>
      <c r="H435" s="27">
        <v>6</v>
      </c>
      <c r="I435" s="45">
        <v>1884.5</v>
      </c>
      <c r="J435" s="45">
        <v>114400</v>
      </c>
      <c r="K435" s="45">
        <v>0</v>
      </c>
      <c r="L435" s="45">
        <v>18396.849999999999</v>
      </c>
      <c r="M435" s="45"/>
      <c r="N435" s="45">
        <v>22524.06</v>
      </c>
      <c r="O435" s="45"/>
      <c r="P435" s="45">
        <v>22524.059999999998</v>
      </c>
      <c r="Q435" s="45">
        <v>0</v>
      </c>
      <c r="R435" s="45">
        <v>50955.03</v>
      </c>
      <c r="S435" s="61">
        <v>21500</v>
      </c>
      <c r="T435" s="61"/>
      <c r="U435" s="61">
        <v>25000</v>
      </c>
      <c r="V435" s="62"/>
      <c r="W435" s="31">
        <f t="shared" si="61"/>
        <v>109944.97</v>
      </c>
      <c r="X435" s="76" t="e">
        <f>#REF!-W435</f>
        <v>#REF!</v>
      </c>
      <c r="Y435" s="76"/>
      <c r="Z435" s="33">
        <f t="shared" si="62"/>
        <v>0</v>
      </c>
      <c r="AA435" s="33">
        <f t="shared" si="63"/>
        <v>4455.0299999999988</v>
      </c>
      <c r="AB435" s="261"/>
      <c r="AC435" s="261"/>
      <c r="AD435" s="261"/>
      <c r="AE435" s="261"/>
      <c r="AF435" s="34" t="s">
        <v>520</v>
      </c>
    </row>
    <row r="436" spans="1:32" ht="15" customHeight="1" x14ac:dyDescent="0.35">
      <c r="A436" s="264"/>
      <c r="B436" s="265"/>
      <c r="C436" s="266"/>
      <c r="D436" s="50" t="s">
        <v>17</v>
      </c>
      <c r="E436" s="50" t="s">
        <v>34</v>
      </c>
      <c r="F436" s="71" t="s">
        <v>69</v>
      </c>
      <c r="G436" s="27" t="s">
        <v>55</v>
      </c>
      <c r="H436" s="27">
        <v>36</v>
      </c>
      <c r="I436" s="45">
        <v>1100</v>
      </c>
      <c r="J436" s="45">
        <v>39600</v>
      </c>
      <c r="K436" s="45">
        <v>0</v>
      </c>
      <c r="L436" s="45">
        <v>2584.77</v>
      </c>
      <c r="M436" s="45"/>
      <c r="N436" s="45"/>
      <c r="O436" s="45"/>
      <c r="P436" s="45">
        <v>7396.03</v>
      </c>
      <c r="Q436" s="45">
        <v>0</v>
      </c>
      <c r="R436" s="45">
        <v>29619.200000000001</v>
      </c>
      <c r="S436" s="61">
        <v>30000</v>
      </c>
      <c r="T436" s="61"/>
      <c r="U436" s="61">
        <v>35427.14</v>
      </c>
      <c r="V436" s="62"/>
      <c r="W436" s="31">
        <f t="shared" si="61"/>
        <v>75407.94</v>
      </c>
      <c r="X436" s="76" t="e">
        <f>#REF!-W436</f>
        <v>#REF!</v>
      </c>
      <c r="Y436" s="76"/>
      <c r="Z436" s="33">
        <f t="shared" si="62"/>
        <v>0</v>
      </c>
      <c r="AA436" s="33">
        <f t="shared" si="63"/>
        <v>-35807.94</v>
      </c>
      <c r="AB436" s="261"/>
      <c r="AC436" s="261"/>
      <c r="AD436" s="261"/>
      <c r="AE436" s="261"/>
      <c r="AF436" s="34" t="s">
        <v>521</v>
      </c>
    </row>
    <row r="437" spans="1:32" ht="15" customHeight="1" x14ac:dyDescent="0.35">
      <c r="A437" s="264"/>
      <c r="B437" s="265"/>
      <c r="C437" s="266"/>
      <c r="D437" s="50" t="s">
        <v>17</v>
      </c>
      <c r="E437" s="50" t="s">
        <v>34</v>
      </c>
      <c r="F437" s="71" t="s">
        <v>36</v>
      </c>
      <c r="G437" s="27"/>
      <c r="H437" s="27"/>
      <c r="I437" s="45"/>
      <c r="J437" s="45">
        <v>0</v>
      </c>
      <c r="K437" s="45">
        <v>0</v>
      </c>
      <c r="L437" s="45">
        <v>7606.2</v>
      </c>
      <c r="M437" s="45"/>
      <c r="N437" s="45"/>
      <c r="O437" s="45"/>
      <c r="P437" s="45">
        <v>0</v>
      </c>
      <c r="Q437" s="45">
        <v>0</v>
      </c>
      <c r="R437" s="45">
        <v>-7606.2</v>
      </c>
      <c r="S437" s="61"/>
      <c r="T437" s="61"/>
      <c r="U437" s="61"/>
      <c r="V437" s="62"/>
      <c r="W437" s="31">
        <f t="shared" si="61"/>
        <v>7606.2</v>
      </c>
      <c r="X437" s="76" t="e">
        <f>#REF!-W437</f>
        <v>#REF!</v>
      </c>
      <c r="Y437" s="76"/>
      <c r="Z437" s="33">
        <f t="shared" si="62"/>
        <v>0</v>
      </c>
      <c r="AA437" s="33">
        <f t="shared" si="63"/>
        <v>-7606.2</v>
      </c>
      <c r="AB437" s="261"/>
      <c r="AC437" s="261"/>
      <c r="AD437" s="261"/>
      <c r="AE437" s="261"/>
      <c r="AF437" s="34"/>
    </row>
    <row r="438" spans="1:32" ht="15" customHeight="1" x14ac:dyDescent="0.35">
      <c r="A438" s="264"/>
      <c r="B438" s="265"/>
      <c r="C438" s="266"/>
      <c r="D438" s="50" t="s">
        <v>17</v>
      </c>
      <c r="E438" s="50" t="s">
        <v>34</v>
      </c>
      <c r="F438" s="71" t="s">
        <v>61</v>
      </c>
      <c r="G438" s="27" t="s">
        <v>86</v>
      </c>
      <c r="H438" s="27">
        <v>1</v>
      </c>
      <c r="I438" s="45">
        <v>14000</v>
      </c>
      <c r="J438" s="45">
        <v>14000</v>
      </c>
      <c r="K438" s="45">
        <v>0</v>
      </c>
      <c r="L438" s="45">
        <v>6262.84</v>
      </c>
      <c r="M438" s="45"/>
      <c r="N438" s="45">
        <v>170.3</v>
      </c>
      <c r="O438" s="45"/>
      <c r="P438" s="45">
        <v>1725.6000000000001</v>
      </c>
      <c r="Q438" s="45">
        <v>0</v>
      </c>
      <c r="R438" s="45">
        <v>5841.2599999999993</v>
      </c>
      <c r="S438" s="61"/>
      <c r="T438" s="61"/>
      <c r="U438" s="61"/>
      <c r="V438" s="62"/>
      <c r="W438" s="31">
        <f t="shared" si="61"/>
        <v>8158.7400000000007</v>
      </c>
      <c r="X438" s="76" t="e">
        <f>#REF!-W438</f>
        <v>#REF!</v>
      </c>
      <c r="Y438" s="76"/>
      <c r="Z438" s="33">
        <f t="shared" si="62"/>
        <v>0</v>
      </c>
      <c r="AA438" s="33">
        <f t="shared" si="63"/>
        <v>5841.2599999999993</v>
      </c>
      <c r="AB438" s="261"/>
      <c r="AC438" s="261"/>
      <c r="AD438" s="261"/>
      <c r="AE438" s="261"/>
      <c r="AF438" s="88" t="s">
        <v>522</v>
      </c>
    </row>
    <row r="439" spans="1:32" ht="15" customHeight="1" x14ac:dyDescent="0.35">
      <c r="A439" s="264"/>
      <c r="B439" s="265"/>
      <c r="C439" s="266"/>
      <c r="D439" s="50" t="s">
        <v>17</v>
      </c>
      <c r="E439" s="50" t="s">
        <v>34</v>
      </c>
      <c r="F439" s="71" t="s">
        <v>513</v>
      </c>
      <c r="G439" s="27" t="s">
        <v>86</v>
      </c>
      <c r="H439" s="27">
        <v>5</v>
      </c>
      <c r="I439" s="45">
        <v>5000</v>
      </c>
      <c r="J439" s="45">
        <v>30000</v>
      </c>
      <c r="K439" s="45">
        <v>0</v>
      </c>
      <c r="L439" s="45"/>
      <c r="M439" s="45"/>
      <c r="N439" s="45"/>
      <c r="O439" s="45"/>
      <c r="P439" s="45">
        <v>1358.25</v>
      </c>
      <c r="Q439" s="45">
        <v>0</v>
      </c>
      <c r="R439" s="45">
        <v>28641.75</v>
      </c>
      <c r="S439" s="61">
        <v>14000</v>
      </c>
      <c r="T439" s="61"/>
      <c r="U439" s="61">
        <v>14641.75</v>
      </c>
      <c r="V439" s="62"/>
      <c r="W439" s="31">
        <f t="shared" si="61"/>
        <v>30000</v>
      </c>
      <c r="X439" s="76" t="e">
        <f>#REF!-W439</f>
        <v>#REF!</v>
      </c>
      <c r="Y439" s="76"/>
      <c r="Z439" s="33">
        <f t="shared" si="62"/>
        <v>0</v>
      </c>
      <c r="AA439" s="33">
        <f t="shared" si="63"/>
        <v>0</v>
      </c>
      <c r="AB439" s="261"/>
      <c r="AC439" s="261"/>
      <c r="AD439" s="261"/>
      <c r="AE439" s="261"/>
      <c r="AF439" s="34" t="s">
        <v>523</v>
      </c>
    </row>
    <row r="440" spans="1:32" ht="15" customHeight="1" x14ac:dyDescent="0.35">
      <c r="A440" s="264"/>
      <c r="B440" s="265"/>
      <c r="C440" s="266"/>
      <c r="D440" s="50" t="s">
        <v>17</v>
      </c>
      <c r="E440" s="50" t="s">
        <v>34</v>
      </c>
      <c r="F440" s="71" t="s">
        <v>73</v>
      </c>
      <c r="G440" s="27" t="s">
        <v>29</v>
      </c>
      <c r="H440" s="27">
        <v>6</v>
      </c>
      <c r="I440" s="45">
        <v>2066.6666660000001</v>
      </c>
      <c r="J440" s="45">
        <v>27920</v>
      </c>
      <c r="K440" s="45">
        <v>0</v>
      </c>
      <c r="L440" s="45">
        <v>2680.57</v>
      </c>
      <c r="M440" s="45"/>
      <c r="N440" s="45">
        <v>746.41</v>
      </c>
      <c r="O440" s="45">
        <v>5500</v>
      </c>
      <c r="P440" s="45">
        <v>7796.5400000000009</v>
      </c>
      <c r="Q440" s="45">
        <v>27504.639999999999</v>
      </c>
      <c r="R440" s="45">
        <v>16696.48</v>
      </c>
      <c r="S440" s="61">
        <v>8000</v>
      </c>
      <c r="T440" s="61"/>
      <c r="U440" s="61">
        <v>8696.48</v>
      </c>
      <c r="V440" s="62"/>
      <c r="W440" s="31">
        <f t="shared" si="61"/>
        <v>27920</v>
      </c>
      <c r="X440" s="76" t="e">
        <f>#REF!-W440</f>
        <v>#REF!</v>
      </c>
      <c r="Y440" s="76"/>
      <c r="Z440" s="33">
        <f t="shared" si="62"/>
        <v>33004.639999999999</v>
      </c>
      <c r="AA440" s="33">
        <f t="shared" si="63"/>
        <v>0</v>
      </c>
      <c r="AB440" s="261"/>
      <c r="AC440" s="261"/>
      <c r="AD440" s="261"/>
      <c r="AE440" s="261"/>
      <c r="AF440" s="34" t="s">
        <v>524</v>
      </c>
    </row>
    <row r="441" spans="1:32" ht="15" customHeight="1" x14ac:dyDescent="0.35">
      <c r="A441" s="264"/>
      <c r="B441" s="265"/>
      <c r="C441" s="266"/>
      <c r="D441" s="50" t="s">
        <v>17</v>
      </c>
      <c r="E441" s="50" t="s">
        <v>34</v>
      </c>
      <c r="F441" s="71" t="s">
        <v>39</v>
      </c>
      <c r="G441" s="27" t="s">
        <v>257</v>
      </c>
      <c r="H441" s="27"/>
      <c r="I441" s="45"/>
      <c r="J441" s="45">
        <v>42180</v>
      </c>
      <c r="K441" s="45">
        <v>0</v>
      </c>
      <c r="L441" s="45">
        <v>10571.11</v>
      </c>
      <c r="M441" s="45"/>
      <c r="N441" s="45">
        <v>3180.47</v>
      </c>
      <c r="O441" s="45"/>
      <c r="P441" s="45">
        <v>2651.08</v>
      </c>
      <c r="Q441" s="45">
        <v>0</v>
      </c>
      <c r="R441" s="45">
        <v>25777.34</v>
      </c>
      <c r="S441" s="61">
        <v>12300</v>
      </c>
      <c r="T441" s="61"/>
      <c r="U441" s="61">
        <v>13477.34</v>
      </c>
      <c r="V441" s="62"/>
      <c r="W441" s="31">
        <f t="shared" si="61"/>
        <v>42180</v>
      </c>
      <c r="X441" s="76" t="e">
        <f>#REF!-W441</f>
        <v>#REF!</v>
      </c>
      <c r="Y441" s="76"/>
      <c r="Z441" s="33">
        <f t="shared" si="62"/>
        <v>0</v>
      </c>
      <c r="AA441" s="33">
        <f t="shared" si="63"/>
        <v>0</v>
      </c>
      <c r="AB441" s="262"/>
      <c r="AC441" s="262"/>
      <c r="AD441" s="261"/>
      <c r="AE441" s="261"/>
      <c r="AF441" s="88" t="s">
        <v>525</v>
      </c>
    </row>
    <row r="442" spans="1:32" ht="15" customHeight="1" x14ac:dyDescent="0.35">
      <c r="A442" s="264"/>
      <c r="B442" s="265"/>
      <c r="C442" s="266"/>
      <c r="D442" s="53"/>
      <c r="E442" s="53"/>
      <c r="F442" s="74"/>
      <c r="G442" s="41"/>
      <c r="H442" s="41"/>
      <c r="I442" s="54"/>
      <c r="J442" s="54">
        <f>SUM(J433:J441)</f>
        <v>648000</v>
      </c>
      <c r="K442" s="54">
        <f t="shared" ref="K442:AC442" si="69">SUM(K433:K441)</f>
        <v>0</v>
      </c>
      <c r="L442" s="54">
        <f t="shared" si="69"/>
        <v>129727.23</v>
      </c>
      <c r="M442" s="54">
        <f t="shared" si="69"/>
        <v>0</v>
      </c>
      <c r="N442" s="54">
        <f t="shared" si="69"/>
        <v>92083.88</v>
      </c>
      <c r="O442" s="54">
        <f t="shared" si="69"/>
        <v>5500</v>
      </c>
      <c r="P442" s="54">
        <f t="shared" si="69"/>
        <v>109146.18000000001</v>
      </c>
      <c r="Q442" s="54">
        <f t="shared" si="69"/>
        <v>71375.48</v>
      </c>
      <c r="R442" s="54">
        <f t="shared" si="69"/>
        <v>317042.71000000002</v>
      </c>
      <c r="S442" s="54">
        <f t="shared" si="69"/>
        <v>147800</v>
      </c>
      <c r="T442" s="54">
        <f t="shared" si="69"/>
        <v>0</v>
      </c>
      <c r="U442" s="54">
        <f t="shared" si="69"/>
        <v>169242.71000000002</v>
      </c>
      <c r="V442" s="54">
        <f t="shared" si="69"/>
        <v>0</v>
      </c>
      <c r="W442" s="54">
        <f t="shared" si="69"/>
        <v>648000</v>
      </c>
      <c r="X442" s="54" t="e">
        <f t="shared" si="69"/>
        <v>#REF!</v>
      </c>
      <c r="Y442" s="54">
        <f t="shared" si="69"/>
        <v>0</v>
      </c>
      <c r="Z442" s="54">
        <f t="shared" si="69"/>
        <v>76875.48</v>
      </c>
      <c r="AA442" s="54">
        <f t="shared" si="69"/>
        <v>-1.2732925824820995E-11</v>
      </c>
      <c r="AB442" s="54">
        <f t="shared" si="69"/>
        <v>648000</v>
      </c>
      <c r="AC442" s="54">
        <f t="shared" si="69"/>
        <v>76875.48</v>
      </c>
      <c r="AD442" s="261"/>
      <c r="AE442" s="261"/>
      <c r="AF442" s="49"/>
    </row>
    <row r="443" spans="1:32" ht="15" customHeight="1" x14ac:dyDescent="0.35">
      <c r="A443" s="264"/>
      <c r="B443" s="265"/>
      <c r="C443" s="267"/>
      <c r="D443" s="50" t="s">
        <v>17</v>
      </c>
      <c r="E443" s="50"/>
      <c r="F443" s="71" t="s">
        <v>275</v>
      </c>
      <c r="G443" s="27" t="s">
        <v>86</v>
      </c>
      <c r="H443" s="27">
        <v>1</v>
      </c>
      <c r="I443" s="45">
        <v>90870</v>
      </c>
      <c r="J443" s="45">
        <v>90870</v>
      </c>
      <c r="K443" s="45">
        <v>0</v>
      </c>
      <c r="L443" s="45"/>
      <c r="M443" s="45"/>
      <c r="N443" s="45">
        <v>0</v>
      </c>
      <c r="O443" s="45"/>
      <c r="P443" s="45">
        <v>0</v>
      </c>
      <c r="Q443" s="45"/>
      <c r="R443" s="45">
        <v>90870</v>
      </c>
      <c r="S443" s="58">
        <v>0</v>
      </c>
      <c r="T443" s="58"/>
      <c r="U443" s="58">
        <v>0</v>
      </c>
      <c r="V443" s="59"/>
      <c r="W443" s="31">
        <f t="shared" si="61"/>
        <v>0</v>
      </c>
      <c r="X443" s="60" t="e">
        <f>#REF!-W443</f>
        <v>#REF!</v>
      </c>
      <c r="Y443" s="60"/>
      <c r="Z443" s="33">
        <f t="shared" si="62"/>
        <v>0</v>
      </c>
      <c r="AA443" s="33">
        <f t="shared" si="63"/>
        <v>90870</v>
      </c>
      <c r="AB443" s="67"/>
      <c r="AC443" s="67"/>
      <c r="AD443" s="262"/>
      <c r="AE443" s="262"/>
      <c r="AF443" s="34" t="s">
        <v>526</v>
      </c>
    </row>
    <row r="444" spans="1:32" ht="15" customHeight="1" x14ac:dyDescent="0.35">
      <c r="A444" s="257" t="s">
        <v>277</v>
      </c>
      <c r="B444" s="257"/>
      <c r="C444" s="257"/>
      <c r="D444" s="257"/>
      <c r="E444" s="257"/>
      <c r="F444" s="257"/>
      <c r="G444" s="257"/>
      <c r="H444" s="257"/>
      <c r="I444" s="257"/>
      <c r="J444" s="69">
        <f>J432+J442+J443</f>
        <v>1908270</v>
      </c>
      <c r="K444" s="69">
        <f t="shared" ref="K444:AE444" si="70">K432+K442+K443</f>
        <v>0</v>
      </c>
      <c r="L444" s="69">
        <f t="shared" si="70"/>
        <v>607989.43999999994</v>
      </c>
      <c r="M444" s="69">
        <f t="shared" si="70"/>
        <v>0</v>
      </c>
      <c r="N444" s="69">
        <f t="shared" si="70"/>
        <v>250862.59</v>
      </c>
      <c r="O444" s="69">
        <f t="shared" si="70"/>
        <v>5500</v>
      </c>
      <c r="P444" s="69">
        <f t="shared" si="70"/>
        <v>288838.41000000003</v>
      </c>
      <c r="Q444" s="69">
        <f t="shared" si="70"/>
        <v>71375.48</v>
      </c>
      <c r="R444" s="69">
        <f t="shared" si="70"/>
        <v>760579.56</v>
      </c>
      <c r="S444" s="69">
        <f t="shared" si="70"/>
        <v>311866.84999999998</v>
      </c>
      <c r="T444" s="69">
        <f t="shared" si="70"/>
        <v>0</v>
      </c>
      <c r="U444" s="69">
        <f t="shared" si="70"/>
        <v>357842.71</v>
      </c>
      <c r="V444" s="69">
        <f t="shared" si="70"/>
        <v>0</v>
      </c>
      <c r="W444" s="69">
        <f t="shared" si="70"/>
        <v>1817400</v>
      </c>
      <c r="X444" s="69" t="e">
        <f t="shared" si="70"/>
        <v>#REF!</v>
      </c>
      <c r="Y444" s="69">
        <f t="shared" si="70"/>
        <v>0</v>
      </c>
      <c r="Z444" s="69">
        <f t="shared" si="70"/>
        <v>76875.48</v>
      </c>
      <c r="AA444" s="69">
        <f t="shared" si="70"/>
        <v>90870.000000000044</v>
      </c>
      <c r="AB444" s="69">
        <f t="shared" si="70"/>
        <v>1817400</v>
      </c>
      <c r="AC444" s="69">
        <f t="shared" si="70"/>
        <v>76875.48</v>
      </c>
      <c r="AD444" s="69">
        <f t="shared" si="70"/>
        <v>0</v>
      </c>
      <c r="AE444" s="69">
        <f t="shared" si="70"/>
        <v>0</v>
      </c>
      <c r="AF444" s="69" t="s">
        <v>2</v>
      </c>
    </row>
    <row r="445" spans="1:32" ht="15" customHeight="1" x14ac:dyDescent="0.35">
      <c r="A445" s="257" t="s">
        <v>527</v>
      </c>
      <c r="B445" s="257"/>
      <c r="C445" s="257"/>
      <c r="D445" s="257"/>
      <c r="E445" s="257"/>
      <c r="F445" s="257"/>
      <c r="G445" s="257"/>
      <c r="H445" s="257"/>
      <c r="I445" s="257"/>
      <c r="J445" s="89">
        <f t="shared" ref="J445:AE445" si="71">J216+J322+J379+J418+J444</f>
        <v>18106904.999076001</v>
      </c>
      <c r="K445" s="89">
        <f t="shared" si="71"/>
        <v>1746992</v>
      </c>
      <c r="L445" s="89">
        <f t="shared" si="71"/>
        <v>1676599.85</v>
      </c>
      <c r="M445" s="89">
        <f t="shared" si="71"/>
        <v>0</v>
      </c>
      <c r="N445" s="89">
        <f t="shared" si="71"/>
        <v>772756.96033180004</v>
      </c>
      <c r="O445" s="89">
        <f t="shared" si="71"/>
        <v>342929.52239918185</v>
      </c>
      <c r="P445" s="89">
        <f t="shared" si="71"/>
        <v>1948060.0958341197</v>
      </c>
      <c r="Q445" s="89">
        <f t="shared" si="71"/>
        <v>340856.41086900001</v>
      </c>
      <c r="R445" s="89">
        <f t="shared" si="71"/>
        <v>13709488.069593096</v>
      </c>
      <c r="S445" s="89">
        <f t="shared" si="71"/>
        <v>5128009.4678974543</v>
      </c>
      <c r="T445" s="89">
        <f t="shared" si="71"/>
        <v>694009.41935090488</v>
      </c>
      <c r="U445" s="89">
        <f t="shared" si="71"/>
        <v>7719243.6099999994</v>
      </c>
      <c r="V445" s="89">
        <f t="shared" si="71"/>
        <v>119650</v>
      </c>
      <c r="W445" s="89">
        <f t="shared" si="71"/>
        <v>17244669.984063372</v>
      </c>
      <c r="X445" s="89" t="e">
        <f t="shared" si="71"/>
        <v>#REF!</v>
      </c>
      <c r="Y445" s="89" t="e">
        <f t="shared" si="71"/>
        <v>#REF!</v>
      </c>
      <c r="Z445" s="89">
        <f t="shared" si="71"/>
        <v>1507445.3526190869</v>
      </c>
      <c r="AA445" s="89">
        <f t="shared" si="71"/>
        <v>862235.0150126256</v>
      </c>
      <c r="AB445" s="89">
        <f t="shared" si="71"/>
        <v>17244669.984063372</v>
      </c>
      <c r="AC445" s="89">
        <f t="shared" si="71"/>
        <v>1954634.9026190869</v>
      </c>
      <c r="AD445" s="89">
        <f t="shared" si="71"/>
        <v>15427269.984063372</v>
      </c>
      <c r="AE445" s="89">
        <f t="shared" si="71"/>
        <v>1877759.4226190869</v>
      </c>
      <c r="AF445" s="89" t="s">
        <v>2</v>
      </c>
    </row>
    <row r="446" spans="1:32" s="90" customFormat="1" ht="15" customHeight="1" x14ac:dyDescent="0.25">
      <c r="D446" s="91"/>
      <c r="F446" s="92"/>
      <c r="G446" s="93"/>
      <c r="H446" s="93"/>
      <c r="S446" s="223"/>
      <c r="T446" s="94"/>
      <c r="U446" s="94"/>
      <c r="V446" s="94"/>
      <c r="W446" s="94"/>
      <c r="X446" s="94"/>
      <c r="Y446" s="94"/>
      <c r="Z446" s="94"/>
      <c r="AA446" s="94"/>
      <c r="AB446" s="94"/>
      <c r="AC446" s="94"/>
      <c r="AD446" s="94"/>
      <c r="AE446" s="94"/>
    </row>
    <row r="447" spans="1:32" s="95" customFormat="1" ht="15" customHeight="1" x14ac:dyDescent="0.25">
      <c r="C447" s="96" t="s">
        <v>528</v>
      </c>
      <c r="D447" s="97"/>
      <c r="J447" s="98" t="s">
        <v>2</v>
      </c>
      <c r="S447" s="224" t="s">
        <v>2</v>
      </c>
      <c r="T447" s="99"/>
      <c r="U447" s="94" t="s">
        <v>6</v>
      </c>
      <c r="V447" s="94" t="s">
        <v>2</v>
      </c>
      <c r="W447" s="99">
        <f>J445</f>
        <v>18106904.999076001</v>
      </c>
      <c r="X447" s="99" t="s">
        <v>2</v>
      </c>
      <c r="Y447" s="99"/>
      <c r="Z447" s="99"/>
      <c r="AA447" s="99"/>
      <c r="AB447" s="99"/>
      <c r="AC447" s="99"/>
      <c r="AD447" s="99"/>
      <c r="AE447" s="99" t="s">
        <v>2</v>
      </c>
      <c r="AF447" s="98"/>
    </row>
    <row r="448" spans="1:32" s="95" customFormat="1" ht="15" customHeight="1" x14ac:dyDescent="0.25">
      <c r="C448" s="100" t="s">
        <v>529</v>
      </c>
      <c r="D448" s="97"/>
      <c r="S448" s="225"/>
      <c r="T448" s="101"/>
      <c r="U448" s="99" t="s">
        <v>530</v>
      </c>
      <c r="V448" s="99"/>
      <c r="W448" s="99">
        <f>W445</f>
        <v>17244669.984063372</v>
      </c>
      <c r="X448" s="99" t="s">
        <v>2</v>
      </c>
      <c r="Y448" s="99"/>
      <c r="Z448" s="99"/>
      <c r="AA448" s="99"/>
      <c r="AB448" s="99"/>
      <c r="AC448" s="99"/>
      <c r="AD448" s="99"/>
      <c r="AE448" s="99"/>
      <c r="AF448" s="98"/>
    </row>
    <row r="449" spans="3:31" s="95" customFormat="1" ht="15" customHeight="1" x14ac:dyDescent="0.25">
      <c r="C449" s="102" t="s">
        <v>531</v>
      </c>
      <c r="D449" s="97"/>
      <c r="S449" s="224"/>
      <c r="T449" s="99"/>
      <c r="U449" s="94" t="s">
        <v>22</v>
      </c>
      <c r="V449" s="94"/>
      <c r="W449" s="99">
        <f>AA445</f>
        <v>862235.0150126256</v>
      </c>
      <c r="X449" s="94"/>
      <c r="Y449" s="99"/>
      <c r="Z449" s="99"/>
      <c r="AA449" s="99"/>
      <c r="AB449" s="99"/>
      <c r="AC449" s="99"/>
      <c r="AD449" s="99"/>
      <c r="AE449" s="99"/>
    </row>
    <row r="450" spans="3:31" s="95" customFormat="1" ht="22.25" customHeight="1" x14ac:dyDescent="0.25">
      <c r="C450" s="258" t="s">
        <v>532</v>
      </c>
      <c r="D450" s="259"/>
      <c r="E450" s="259"/>
      <c r="F450" s="259"/>
      <c r="S450" s="223"/>
      <c r="T450" s="94"/>
      <c r="U450" s="94" t="s">
        <v>533</v>
      </c>
      <c r="V450" s="94"/>
      <c r="W450" s="99">
        <f>W448+W449</f>
        <v>18106904.999075998</v>
      </c>
      <c r="X450" s="94"/>
      <c r="Y450" s="94"/>
      <c r="Z450" s="94"/>
      <c r="AA450" s="94"/>
      <c r="AB450" s="94"/>
      <c r="AC450" s="94"/>
      <c r="AD450" s="94"/>
      <c r="AE450" s="94"/>
    </row>
    <row r="451" spans="3:31" s="95" customFormat="1" ht="15" customHeight="1" x14ac:dyDescent="0.25">
      <c r="C451" s="102" t="s">
        <v>619</v>
      </c>
      <c r="D451" s="97"/>
      <c r="S451" s="223"/>
      <c r="T451" s="94"/>
      <c r="U451" s="94"/>
      <c r="V451" s="94"/>
      <c r="W451" s="94"/>
      <c r="X451" s="94"/>
      <c r="Y451" s="94"/>
      <c r="Z451" s="94"/>
      <c r="AA451" s="94"/>
      <c r="AB451" s="94"/>
      <c r="AC451" s="94"/>
      <c r="AD451" s="94"/>
      <c r="AE451" s="94"/>
    </row>
    <row r="452" spans="3:31" s="95" customFormat="1" ht="15" customHeight="1" x14ac:dyDescent="0.25">
      <c r="S452" s="224" t="s">
        <v>2</v>
      </c>
      <c r="T452" s="99"/>
      <c r="U452" s="94"/>
      <c r="V452" s="94"/>
      <c r="W452" s="94"/>
      <c r="X452" s="94"/>
      <c r="Y452" s="94"/>
      <c r="Z452" s="94"/>
      <c r="AA452" s="94"/>
      <c r="AB452" s="94"/>
      <c r="AC452" s="94"/>
      <c r="AD452" s="94"/>
      <c r="AE452" s="94"/>
    </row>
    <row r="453" spans="3:31" s="103" customFormat="1" ht="15" customHeight="1" x14ac:dyDescent="0.25">
      <c r="D453" s="95"/>
      <c r="F453" s="102"/>
      <c r="G453" s="95"/>
      <c r="H453" s="95"/>
      <c r="S453" s="223"/>
      <c r="T453" s="94"/>
      <c r="U453" s="94"/>
      <c r="V453" s="94"/>
      <c r="W453" s="94"/>
      <c r="X453" s="94"/>
      <c r="Y453" s="94"/>
      <c r="Z453" s="94"/>
      <c r="AA453" s="94"/>
      <c r="AB453" s="94"/>
      <c r="AC453" s="94"/>
      <c r="AD453" s="94"/>
      <c r="AE453" s="94"/>
    </row>
    <row r="454" spans="3:31" s="103" customFormat="1" ht="15" customHeight="1" x14ac:dyDescent="0.25">
      <c r="D454" s="95"/>
      <c r="F454" s="102"/>
      <c r="S454" s="223"/>
      <c r="T454" s="94"/>
      <c r="U454" s="94"/>
      <c r="V454" s="94"/>
      <c r="W454" s="94"/>
      <c r="X454" s="94"/>
      <c r="Y454" s="94"/>
      <c r="Z454" s="94"/>
      <c r="AA454" s="94"/>
      <c r="AB454" s="94"/>
      <c r="AC454" s="94"/>
      <c r="AD454" s="94"/>
      <c r="AE454" s="94"/>
    </row>
    <row r="455" spans="3:31" s="103" customFormat="1" ht="15" customHeight="1" x14ac:dyDescent="0.25">
      <c r="D455" s="95"/>
      <c r="F455" s="102"/>
      <c r="S455" s="223"/>
      <c r="T455" s="94"/>
      <c r="U455" s="94"/>
      <c r="V455" s="94"/>
      <c r="W455" s="94"/>
      <c r="X455" s="94"/>
      <c r="Y455" s="94"/>
      <c r="Z455" s="94"/>
      <c r="AA455" s="94"/>
      <c r="AB455" s="94"/>
      <c r="AC455" s="94"/>
      <c r="AD455" s="94"/>
      <c r="AE455" s="94"/>
    </row>
    <row r="456" spans="3:31" s="103" customFormat="1" ht="15" customHeight="1" x14ac:dyDescent="0.25">
      <c r="D456" s="95"/>
      <c r="F456" s="102"/>
      <c r="S456" s="223"/>
      <c r="T456" s="94"/>
      <c r="U456" s="94"/>
      <c r="V456" s="94"/>
      <c r="W456" s="94"/>
      <c r="X456" s="94"/>
      <c r="Y456" s="94"/>
      <c r="Z456" s="94"/>
      <c r="AA456" s="94"/>
      <c r="AB456" s="94"/>
      <c r="AC456" s="94"/>
      <c r="AD456" s="94"/>
      <c r="AE456" s="94"/>
    </row>
    <row r="457" spans="3:31" s="103" customFormat="1" ht="15" customHeight="1" x14ac:dyDescent="0.25">
      <c r="D457" s="95"/>
      <c r="F457" s="102"/>
      <c r="S457" s="223"/>
      <c r="T457" s="94"/>
      <c r="U457" s="94"/>
      <c r="V457" s="94"/>
      <c r="W457" s="94"/>
      <c r="X457" s="94"/>
      <c r="Y457" s="94"/>
      <c r="Z457" s="94"/>
      <c r="AA457" s="94"/>
      <c r="AB457" s="94"/>
      <c r="AC457" s="94"/>
      <c r="AD457" s="94"/>
      <c r="AE457" s="94"/>
    </row>
    <row r="458" spans="3:31" s="103" customFormat="1" ht="15" customHeight="1" x14ac:dyDescent="0.25">
      <c r="D458" s="95"/>
      <c r="F458" s="102"/>
      <c r="S458" s="223"/>
      <c r="T458" s="94"/>
      <c r="U458" s="94"/>
      <c r="V458" s="94"/>
      <c r="W458" s="94"/>
      <c r="X458" s="94"/>
      <c r="Y458" s="94"/>
      <c r="Z458" s="94"/>
      <c r="AA458" s="94"/>
      <c r="AB458" s="94"/>
      <c r="AC458" s="94"/>
      <c r="AD458" s="94"/>
      <c r="AE458" s="94"/>
    </row>
    <row r="459" spans="3:31" s="103" customFormat="1" ht="15" customHeight="1" x14ac:dyDescent="0.25">
      <c r="D459" s="95"/>
      <c r="F459" s="102"/>
      <c r="S459" s="223"/>
      <c r="T459" s="94"/>
      <c r="U459" s="94"/>
      <c r="V459" s="94"/>
      <c r="W459" s="94"/>
      <c r="X459" s="94"/>
      <c r="Y459" s="94"/>
      <c r="Z459" s="94"/>
      <c r="AA459" s="94"/>
      <c r="AB459" s="94"/>
      <c r="AC459" s="94"/>
      <c r="AD459" s="94"/>
      <c r="AE459" s="94"/>
    </row>
    <row r="460" spans="3:31" s="90" customFormat="1" ht="15" customHeight="1" x14ac:dyDescent="0.25">
      <c r="D460" s="104"/>
      <c r="F460" s="92"/>
      <c r="S460" s="223"/>
      <c r="T460" s="94"/>
      <c r="U460" s="94"/>
      <c r="V460" s="94"/>
      <c r="W460" s="94"/>
      <c r="X460" s="94"/>
      <c r="Y460" s="94"/>
      <c r="Z460" s="94"/>
      <c r="AA460" s="94"/>
      <c r="AB460" s="94"/>
      <c r="AC460" s="94"/>
      <c r="AD460" s="94"/>
      <c r="AE460" s="94"/>
    </row>
    <row r="461" spans="3:31" s="90" customFormat="1" ht="15" customHeight="1" x14ac:dyDescent="0.25">
      <c r="D461" s="104"/>
      <c r="F461" s="92"/>
      <c r="S461" s="223"/>
      <c r="T461" s="94"/>
      <c r="U461" s="94"/>
      <c r="V461" s="94"/>
      <c r="W461" s="94"/>
      <c r="X461" s="94"/>
      <c r="Y461" s="94"/>
      <c r="Z461" s="94"/>
      <c r="AA461" s="94"/>
      <c r="AB461" s="94"/>
      <c r="AC461" s="94"/>
      <c r="AD461" s="94"/>
      <c r="AE461" s="94"/>
    </row>
    <row r="462" spans="3:31" s="90" customFormat="1" ht="15" customHeight="1" x14ac:dyDescent="0.25">
      <c r="D462" s="104"/>
      <c r="F462" s="92"/>
      <c r="S462" s="223"/>
      <c r="T462" s="94"/>
      <c r="U462" s="94"/>
      <c r="V462" s="94"/>
      <c r="W462" s="94"/>
      <c r="X462" s="94"/>
      <c r="Y462" s="94"/>
      <c r="Z462" s="94"/>
      <c r="AA462" s="94"/>
      <c r="AB462" s="94"/>
      <c r="AC462" s="94"/>
      <c r="AD462" s="94"/>
      <c r="AE462" s="94"/>
    </row>
    <row r="463" spans="3:31" s="90" customFormat="1" ht="15" customHeight="1" x14ac:dyDescent="0.25">
      <c r="D463" s="104"/>
      <c r="F463" s="92"/>
      <c r="S463" s="223"/>
      <c r="T463" s="94"/>
      <c r="U463" s="94"/>
      <c r="V463" s="94"/>
      <c r="W463" s="94"/>
      <c r="X463" s="94"/>
      <c r="Y463" s="94"/>
      <c r="Z463" s="94"/>
      <c r="AA463" s="94"/>
      <c r="AB463" s="94"/>
      <c r="AC463" s="94"/>
      <c r="AD463" s="94"/>
      <c r="AE463" s="94"/>
    </row>
  </sheetData>
  <autoFilter ref="C4:AF445" xr:uid="{C351CEE8-2E5A-411D-A23E-4220486DD10B}">
    <filterColumn colId="7"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autoFilter>
  <mergeCells count="179">
    <mergeCell ref="A2:P2"/>
    <mergeCell ref="C4:C8"/>
    <mergeCell ref="D4:D8"/>
    <mergeCell ref="E4:E8"/>
    <mergeCell ref="J4:K6"/>
    <mergeCell ref="L4:W6"/>
    <mergeCell ref="S7:T7"/>
    <mergeCell ref="U7:V7"/>
    <mergeCell ref="W7:Z7"/>
    <mergeCell ref="Z4:Z6"/>
    <mergeCell ref="AF4:AF8"/>
    <mergeCell ref="AB6:AC7"/>
    <mergeCell ref="AD6:AE7"/>
    <mergeCell ref="J7:J8"/>
    <mergeCell ref="K7:K8"/>
    <mergeCell ref="L7:M7"/>
    <mergeCell ref="N7:O7"/>
    <mergeCell ref="P7:Q7"/>
    <mergeCell ref="R7:R8"/>
    <mergeCell ref="AA7:AA8"/>
    <mergeCell ref="A9:A213"/>
    <mergeCell ref="B9:B68"/>
    <mergeCell ref="C9:C13"/>
    <mergeCell ref="AB9:AB13"/>
    <mergeCell ref="AC9:AC13"/>
    <mergeCell ref="AC40:AC52"/>
    <mergeCell ref="C54:C60"/>
    <mergeCell ref="AB54:AB60"/>
    <mergeCell ref="AC54:AC60"/>
    <mergeCell ref="B70:B213"/>
    <mergeCell ref="AC119:AC123"/>
    <mergeCell ref="C96:C105"/>
    <mergeCell ref="AB96:AB105"/>
    <mergeCell ref="AC96:AC105"/>
    <mergeCell ref="C107:C110"/>
    <mergeCell ref="AB107:AB110"/>
    <mergeCell ref="AC107:AC110"/>
    <mergeCell ref="C138:C141"/>
    <mergeCell ref="AB138:AB141"/>
    <mergeCell ref="AC138:AC141"/>
    <mergeCell ref="C143:C147"/>
    <mergeCell ref="AB143:AB147"/>
    <mergeCell ref="AC143:AC147"/>
    <mergeCell ref="C125:C129"/>
    <mergeCell ref="AD9:AD215"/>
    <mergeCell ref="AE9:AE215"/>
    <mergeCell ref="C15:C33"/>
    <mergeCell ref="AB15:AB33"/>
    <mergeCell ref="AC15:AC33"/>
    <mergeCell ref="C35:C38"/>
    <mergeCell ref="AB35:AB38"/>
    <mergeCell ref="AC35:AC38"/>
    <mergeCell ref="C40:C52"/>
    <mergeCell ref="AB40:AB52"/>
    <mergeCell ref="C62:C68"/>
    <mergeCell ref="AB62:AB68"/>
    <mergeCell ref="AC62:AC68"/>
    <mergeCell ref="C70:C83"/>
    <mergeCell ref="AB70:AB83"/>
    <mergeCell ref="AC70:AC83"/>
    <mergeCell ref="C85:C94"/>
    <mergeCell ref="AB85:AB94"/>
    <mergeCell ref="AC85:AC94"/>
    <mergeCell ref="C112:C117"/>
    <mergeCell ref="AB112:AB117"/>
    <mergeCell ref="AC112:AC117"/>
    <mergeCell ref="C119:C123"/>
    <mergeCell ref="AB119:AB123"/>
    <mergeCell ref="AB125:AB129"/>
    <mergeCell ref="AC125:AC129"/>
    <mergeCell ref="C131:C136"/>
    <mergeCell ref="AB131:AB136"/>
    <mergeCell ref="AC131:AC136"/>
    <mergeCell ref="C162:C165"/>
    <mergeCell ref="AB162:AB165"/>
    <mergeCell ref="AC162:AC165"/>
    <mergeCell ref="C167:C172"/>
    <mergeCell ref="AB167:AB172"/>
    <mergeCell ref="AC167:AC172"/>
    <mergeCell ref="C149:C154"/>
    <mergeCell ref="AB149:AB154"/>
    <mergeCell ref="AC149:AC154"/>
    <mergeCell ref="C156:C160"/>
    <mergeCell ref="AB156:AB160"/>
    <mergeCell ref="AC156:AC160"/>
    <mergeCell ref="C196:C205"/>
    <mergeCell ref="AB196:AB205"/>
    <mergeCell ref="AC196:AC205"/>
    <mergeCell ref="C207:C213"/>
    <mergeCell ref="AB207:AB213"/>
    <mergeCell ref="AC207:AC213"/>
    <mergeCell ref="C174:C177"/>
    <mergeCell ref="AB174:AB177"/>
    <mergeCell ref="AC174:AC177"/>
    <mergeCell ref="C179:C194"/>
    <mergeCell ref="AB179:AB194"/>
    <mergeCell ref="AC179:AC194"/>
    <mergeCell ref="A216:I216"/>
    <mergeCell ref="A217:A321"/>
    <mergeCell ref="B217:B292"/>
    <mergeCell ref="C217:C236"/>
    <mergeCell ref="AB217:AB236"/>
    <mergeCell ref="AC217:AC236"/>
    <mergeCell ref="AC263:AC275"/>
    <mergeCell ref="C277:C287"/>
    <mergeCell ref="AB277:AB287"/>
    <mergeCell ref="AC277:AC287"/>
    <mergeCell ref="C289:C292"/>
    <mergeCell ref="AB289:AB292"/>
    <mergeCell ref="AC289:AC292"/>
    <mergeCell ref="B294:B311"/>
    <mergeCell ref="C294:C311"/>
    <mergeCell ref="AB294:AB311"/>
    <mergeCell ref="AC294:AC311"/>
    <mergeCell ref="B313:B319"/>
    <mergeCell ref="AD217:AD321"/>
    <mergeCell ref="AE217:AE321"/>
    <mergeCell ref="C238:C246"/>
    <mergeCell ref="AB238:AB246"/>
    <mergeCell ref="AC238:AC246"/>
    <mergeCell ref="C248:C260"/>
    <mergeCell ref="AB248:AB261"/>
    <mergeCell ref="AC248:AC261"/>
    <mergeCell ref="C263:C275"/>
    <mergeCell ref="AB263:AB275"/>
    <mergeCell ref="C313:C319"/>
    <mergeCell ref="AB313:AB319"/>
    <mergeCell ref="AC313:AC319"/>
    <mergeCell ref="A322:I322"/>
    <mergeCell ref="A323:A378"/>
    <mergeCell ref="B323:B348"/>
    <mergeCell ref="C323:C348"/>
    <mergeCell ref="AB323:AB348"/>
    <mergeCell ref="AC323:AC348"/>
    <mergeCell ref="AD323:AD378"/>
    <mergeCell ref="AE323:AE378"/>
    <mergeCell ref="B350:B363"/>
    <mergeCell ref="C350:C358"/>
    <mergeCell ref="AB350:AB358"/>
    <mergeCell ref="AC350:AC358"/>
    <mergeCell ref="C360:C363"/>
    <mergeCell ref="AB360:AB363"/>
    <mergeCell ref="AC360:AC363"/>
    <mergeCell ref="B365:B375"/>
    <mergeCell ref="C412:C415"/>
    <mergeCell ref="C365:C376"/>
    <mergeCell ref="AB365:AB376"/>
    <mergeCell ref="AC365:AC376"/>
    <mergeCell ref="A379:I379"/>
    <mergeCell ref="A380:A417"/>
    <mergeCell ref="B380:B402"/>
    <mergeCell ref="C380:C389"/>
    <mergeCell ref="AB380:AB389"/>
    <mergeCell ref="AC380:AC389"/>
    <mergeCell ref="AB412:AB415"/>
    <mergeCell ref="A445:I445"/>
    <mergeCell ref="C450:F450"/>
    <mergeCell ref="AD419:AD443"/>
    <mergeCell ref="AE419:AE443"/>
    <mergeCell ref="D432:I432"/>
    <mergeCell ref="AB433:AB441"/>
    <mergeCell ref="AC433:AC441"/>
    <mergeCell ref="A444:I444"/>
    <mergeCell ref="AC412:AC415"/>
    <mergeCell ref="A418:I418"/>
    <mergeCell ref="A419:A443"/>
    <mergeCell ref="B419:B443"/>
    <mergeCell ref="C419:C443"/>
    <mergeCell ref="AB419:AB431"/>
    <mergeCell ref="AC419:AC431"/>
    <mergeCell ref="AD380:AD417"/>
    <mergeCell ref="AE380:AE417"/>
    <mergeCell ref="C391:C402"/>
    <mergeCell ref="AB391:AB402"/>
    <mergeCell ref="AC391:AC402"/>
    <mergeCell ref="B404:B415"/>
    <mergeCell ref="C404:C410"/>
    <mergeCell ref="AB404:AB410"/>
    <mergeCell ref="AC404:AC4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679ED-AD57-4CD7-A85D-733982DDDD51}">
  <sheetPr>
    <pageSetUpPr fitToPage="1"/>
  </sheetPr>
  <dimension ref="A1:AD454"/>
  <sheetViews>
    <sheetView topLeftCell="C1" zoomScale="120" zoomScaleNormal="120" workbookViewId="0">
      <pane xSplit="7" ySplit="7" topLeftCell="Q222" activePane="bottomRight" state="frozen"/>
      <selection activeCell="C1" sqref="C1"/>
      <selection pane="topRight" activeCell="J1" sqref="J1"/>
      <selection pane="bottomLeft" activeCell="C8" sqref="C8"/>
      <selection pane="bottomRight" activeCell="W8" sqref="W8"/>
    </sheetView>
  </sheetViews>
  <sheetFormatPr defaultColWidth="10.453125" defaultRowHeight="14.5" x14ac:dyDescent="0.35"/>
  <cols>
    <col min="1" max="1" width="13" hidden="1" customWidth="1"/>
    <col min="2" max="2" width="30.81640625" hidden="1" customWidth="1"/>
    <col min="3" max="3" width="30.1796875" customWidth="1"/>
    <col min="4" max="4" width="23.08984375" style="105" bestFit="1" customWidth="1"/>
    <col min="5" max="5" width="11.6328125" customWidth="1"/>
    <col min="6" max="6" width="13.08984375" style="106" customWidth="1"/>
    <col min="7" max="7" width="11.6328125" bestFit="1" customWidth="1"/>
    <col min="8" max="8" width="11.81640625" customWidth="1"/>
    <col min="9" max="9" width="12.81640625" customWidth="1"/>
    <col min="10" max="10" width="11.81640625" customWidth="1"/>
    <col min="11" max="11" width="17" customWidth="1"/>
    <col min="12" max="13" width="10.81640625" customWidth="1"/>
    <col min="14" max="15" width="11.6328125" bestFit="1" customWidth="1"/>
    <col min="16" max="16" width="13.453125" customWidth="1"/>
    <col min="17" max="17" width="12.81640625" style="94" customWidth="1"/>
    <col min="18" max="18" width="13.81640625" style="94" bestFit="1" customWidth="1"/>
    <col min="19" max="20" width="11.81640625" style="94" hidden="1" customWidth="1"/>
    <col min="21" max="22" width="11.81640625" style="94" customWidth="1"/>
    <col min="23" max="23" width="13.453125" style="94" customWidth="1"/>
    <col min="24" max="26" width="11.81640625" style="94" customWidth="1"/>
    <col min="27" max="27" width="10.81640625" customWidth="1"/>
    <col min="28" max="28" width="44.453125" style="159" customWidth="1"/>
    <col min="29" max="29" width="17.453125" customWidth="1"/>
  </cols>
  <sheetData>
    <row r="1" spans="1:28" ht="15" customHeight="1" x14ac:dyDescent="0.35">
      <c r="A1" s="1" t="s">
        <v>0</v>
      </c>
      <c r="B1" s="2"/>
      <c r="C1" s="2"/>
      <c r="D1" s="3"/>
      <c r="E1" s="4"/>
      <c r="F1" s="5"/>
      <c r="G1" s="3"/>
      <c r="H1" s="2"/>
      <c r="I1" s="2"/>
      <c r="J1" s="2"/>
      <c r="K1" s="2"/>
      <c r="L1" s="2"/>
      <c r="M1" s="2"/>
      <c r="N1" s="2"/>
      <c r="O1" s="2"/>
      <c r="P1" s="2"/>
      <c r="Q1" s="6"/>
      <c r="R1" s="6"/>
      <c r="S1" s="6"/>
      <c r="T1" s="6"/>
      <c r="U1" s="6"/>
      <c r="V1" s="6"/>
      <c r="W1" s="6"/>
      <c r="X1" s="6"/>
      <c r="Y1" s="6"/>
      <c r="Z1" s="6"/>
      <c r="AA1" s="3"/>
      <c r="AB1" s="107"/>
    </row>
    <row r="2" spans="1:28" ht="15" customHeight="1" x14ac:dyDescent="0.35">
      <c r="A2" s="278" t="s">
        <v>1</v>
      </c>
      <c r="B2" s="278"/>
      <c r="C2" s="278"/>
      <c r="D2" s="278"/>
      <c r="E2" s="278"/>
      <c r="F2" s="278"/>
      <c r="G2" s="278"/>
      <c r="H2" s="279"/>
      <c r="I2" s="279"/>
      <c r="J2" s="279"/>
      <c r="K2" s="279"/>
      <c r="L2" s="279"/>
      <c r="M2" s="279"/>
      <c r="N2" s="279"/>
      <c r="O2" s="279"/>
      <c r="P2" s="279"/>
      <c r="Q2" s="6"/>
      <c r="R2" s="6"/>
      <c r="S2" s="6"/>
      <c r="T2" s="6"/>
      <c r="U2" s="6"/>
      <c r="V2" s="6"/>
      <c r="W2" s="6"/>
      <c r="X2" s="6"/>
      <c r="Y2" s="6"/>
      <c r="Z2" s="6"/>
      <c r="AA2" s="6"/>
      <c r="AB2" s="107"/>
    </row>
    <row r="3" spans="1:28" ht="7.25" customHeight="1" x14ac:dyDescent="0.35">
      <c r="A3" s="8"/>
      <c r="B3" s="9"/>
      <c r="C3" s="9"/>
      <c r="D3" s="10"/>
      <c r="E3" s="11"/>
      <c r="F3" s="12"/>
      <c r="G3" s="10"/>
      <c r="H3" s="9"/>
      <c r="I3" s="9"/>
      <c r="J3" s="9"/>
      <c r="K3" s="9"/>
      <c r="L3" s="9"/>
      <c r="M3" s="9"/>
      <c r="N3" s="9"/>
      <c r="O3" s="9"/>
      <c r="P3" s="9"/>
      <c r="Q3" s="13"/>
      <c r="R3" s="13"/>
      <c r="S3" s="13"/>
      <c r="T3" s="13"/>
      <c r="U3" s="13"/>
      <c r="V3" s="13"/>
      <c r="W3" s="13"/>
      <c r="X3" s="13"/>
      <c r="Y3" s="13"/>
      <c r="Z3" s="13"/>
      <c r="AA3" s="10"/>
      <c r="AB3" s="107"/>
    </row>
    <row r="4" spans="1:28" ht="10.25" customHeight="1" x14ac:dyDescent="0.35">
      <c r="A4" s="14" t="s">
        <v>2</v>
      </c>
      <c r="B4" s="15"/>
      <c r="C4" s="280" t="s">
        <v>3</v>
      </c>
      <c r="D4" s="274" t="s">
        <v>4</v>
      </c>
      <c r="E4" s="282" t="s">
        <v>5</v>
      </c>
      <c r="F4" s="16"/>
      <c r="G4" s="17"/>
      <c r="H4" s="17"/>
      <c r="I4" s="17"/>
      <c r="J4" s="284" t="s">
        <v>6</v>
      </c>
      <c r="K4" s="285"/>
      <c r="L4" s="284" t="s">
        <v>534</v>
      </c>
      <c r="M4" s="285"/>
      <c r="N4" s="293"/>
      <c r="O4" s="293"/>
      <c r="P4" s="275" t="s">
        <v>535</v>
      </c>
      <c r="Q4" s="291" t="s">
        <v>536</v>
      </c>
      <c r="R4" s="292"/>
      <c r="S4" s="293"/>
      <c r="T4" s="293"/>
      <c r="U4" s="108"/>
      <c r="V4" s="108"/>
      <c r="W4" s="108"/>
      <c r="X4" s="108"/>
      <c r="Y4" s="108"/>
      <c r="Z4" s="108"/>
      <c r="AA4" s="274" t="s">
        <v>8</v>
      </c>
      <c r="AB4" s="295" t="s">
        <v>537</v>
      </c>
    </row>
    <row r="5" spans="1:28" ht="10.75" customHeight="1" x14ac:dyDescent="0.35">
      <c r="A5" s="21" t="s">
        <v>9</v>
      </c>
      <c r="B5" s="22" t="s">
        <v>10</v>
      </c>
      <c r="C5" s="281"/>
      <c r="D5" s="275"/>
      <c r="E5" s="283"/>
      <c r="F5" s="23" t="s">
        <v>11</v>
      </c>
      <c r="G5" s="18" t="s">
        <v>12</v>
      </c>
      <c r="H5" s="18" t="s">
        <v>13</v>
      </c>
      <c r="I5" s="18" t="s">
        <v>14</v>
      </c>
      <c r="J5" s="286"/>
      <c r="K5" s="286"/>
      <c r="L5" s="286"/>
      <c r="M5" s="286"/>
      <c r="N5" s="276"/>
      <c r="O5" s="276"/>
      <c r="P5" s="276"/>
      <c r="Q5" s="294"/>
      <c r="R5" s="294"/>
      <c r="S5" s="276"/>
      <c r="T5" s="276"/>
      <c r="U5" s="109"/>
      <c r="V5" s="109"/>
      <c r="W5" s="109"/>
      <c r="X5" s="109"/>
      <c r="Y5" s="109"/>
      <c r="Z5" s="109"/>
      <c r="AA5" s="275"/>
      <c r="AB5" s="296"/>
    </row>
    <row r="6" spans="1:28" ht="10.75" customHeight="1" x14ac:dyDescent="0.35">
      <c r="A6" s="21"/>
      <c r="B6" s="22"/>
      <c r="C6" s="281"/>
      <c r="D6" s="275"/>
      <c r="E6" s="283"/>
      <c r="F6" s="23"/>
      <c r="G6" s="18"/>
      <c r="H6" s="18"/>
      <c r="I6" s="18"/>
      <c r="J6" s="286"/>
      <c r="K6" s="286"/>
      <c r="L6" s="286"/>
      <c r="M6" s="286"/>
      <c r="N6" s="276"/>
      <c r="O6" s="276"/>
      <c r="P6" s="276"/>
      <c r="Q6" s="294"/>
      <c r="R6" s="294"/>
      <c r="S6" s="276"/>
      <c r="T6" s="276"/>
      <c r="U6" s="109"/>
      <c r="V6" s="109"/>
      <c r="W6" s="109"/>
      <c r="X6" s="109"/>
      <c r="Y6" s="109"/>
      <c r="Z6" s="109"/>
      <c r="AA6" s="275"/>
      <c r="AB6" s="296"/>
    </row>
    <row r="7" spans="1:28" ht="40.25" customHeight="1" x14ac:dyDescent="0.35">
      <c r="A7" s="21"/>
      <c r="B7" s="22"/>
      <c r="C7" s="281"/>
      <c r="D7" s="275"/>
      <c r="E7" s="283"/>
      <c r="F7" s="23"/>
      <c r="G7" s="18"/>
      <c r="H7" s="18"/>
      <c r="I7" s="18"/>
      <c r="J7" s="18" t="s">
        <v>17</v>
      </c>
      <c r="K7" s="18" t="s">
        <v>18</v>
      </c>
      <c r="L7" s="18">
        <v>2018</v>
      </c>
      <c r="M7" s="18" t="s">
        <v>538</v>
      </c>
      <c r="N7" s="18">
        <v>2020</v>
      </c>
      <c r="O7" s="18">
        <v>2021</v>
      </c>
      <c r="P7" s="18" t="s">
        <v>17</v>
      </c>
      <c r="Q7" s="110" t="s">
        <v>1072</v>
      </c>
      <c r="R7" s="110" t="s">
        <v>533</v>
      </c>
      <c r="S7" s="110" t="s">
        <v>539</v>
      </c>
      <c r="T7" s="110" t="s">
        <v>22</v>
      </c>
      <c r="U7" s="110" t="s">
        <v>22</v>
      </c>
      <c r="V7" s="110" t="s">
        <v>1158</v>
      </c>
      <c r="W7" s="110" t="s">
        <v>1159</v>
      </c>
      <c r="X7" s="110">
        <v>2024</v>
      </c>
      <c r="Y7" s="110">
        <v>2025</v>
      </c>
      <c r="Z7" s="241" t="s">
        <v>1133</v>
      </c>
      <c r="AA7" s="275"/>
      <c r="AB7" s="297"/>
    </row>
    <row r="8" spans="1:28" ht="40.25" customHeight="1" x14ac:dyDescent="0.35">
      <c r="A8" s="264" t="s">
        <v>24</v>
      </c>
      <c r="B8" s="272" t="s">
        <v>25</v>
      </c>
      <c r="C8" s="272" t="s">
        <v>26</v>
      </c>
      <c r="D8" s="25" t="s">
        <v>17</v>
      </c>
      <c r="E8" s="25" t="s">
        <v>27</v>
      </c>
      <c r="F8" s="26" t="s">
        <v>28</v>
      </c>
      <c r="G8" s="25" t="s">
        <v>29</v>
      </c>
      <c r="H8" s="27">
        <v>16.399999999999999</v>
      </c>
      <c r="I8" s="28">
        <v>7020</v>
      </c>
      <c r="J8" s="28">
        <v>115250</v>
      </c>
      <c r="K8" s="28">
        <v>0</v>
      </c>
      <c r="L8" s="28">
        <v>0</v>
      </c>
      <c r="M8" s="28">
        <v>67574.399999999994</v>
      </c>
      <c r="N8" s="28">
        <v>13231.02</v>
      </c>
      <c r="O8" s="28"/>
      <c r="P8" s="111">
        <v>34444.58</v>
      </c>
      <c r="Q8" s="226">
        <v>34444.58</v>
      </c>
      <c r="R8" s="32">
        <f>L8+M8+N8+O8+Q8</f>
        <v>115250</v>
      </c>
      <c r="S8" s="32">
        <f>P8-R8</f>
        <v>-80805.42</v>
      </c>
      <c r="T8" s="32"/>
      <c r="U8" s="32">
        <f>P8-Q8</f>
        <v>0</v>
      </c>
      <c r="V8" s="32"/>
      <c r="W8" s="112">
        <v>0</v>
      </c>
      <c r="X8" s="32"/>
      <c r="Y8" s="32"/>
      <c r="Z8" s="32">
        <f>U8-(W8+X8+Y8)</f>
        <v>0</v>
      </c>
      <c r="AA8" s="34" t="s">
        <v>30</v>
      </c>
      <c r="AB8" s="113" t="s">
        <v>2</v>
      </c>
    </row>
    <row r="9" spans="1:28" ht="15" customHeight="1" x14ac:dyDescent="0.35">
      <c r="A9" s="264"/>
      <c r="B9" s="272"/>
      <c r="C9" s="272"/>
      <c r="D9" s="25" t="s">
        <v>31</v>
      </c>
      <c r="E9" s="25" t="s">
        <v>27</v>
      </c>
      <c r="F9" s="26" t="s">
        <v>28</v>
      </c>
      <c r="G9" s="27" t="s">
        <v>29</v>
      </c>
      <c r="H9" s="27">
        <v>3.3</v>
      </c>
      <c r="I9" s="35">
        <v>7020</v>
      </c>
      <c r="J9" s="35">
        <v>0</v>
      </c>
      <c r="K9" s="35">
        <v>23200</v>
      </c>
      <c r="L9" s="35"/>
      <c r="M9" s="35"/>
      <c r="N9" s="35"/>
      <c r="O9" s="35"/>
      <c r="P9" s="114">
        <v>0</v>
      </c>
      <c r="Q9" s="226">
        <v>0</v>
      </c>
      <c r="R9" s="32">
        <f t="shared" ref="R9:R72" si="0">L9+M9+N9+O9+Q9</f>
        <v>0</v>
      </c>
      <c r="S9" s="32"/>
      <c r="T9" s="32"/>
      <c r="U9" s="32">
        <f t="shared" ref="U9:U72" si="1">P9-Q9</f>
        <v>0</v>
      </c>
      <c r="V9" s="32"/>
      <c r="W9" s="112">
        <v>0</v>
      </c>
      <c r="X9" s="32"/>
      <c r="Y9" s="32"/>
      <c r="Z9" s="32">
        <f t="shared" ref="Z9:Z12" si="2">U9-(W9+X9+Y9)</f>
        <v>0</v>
      </c>
      <c r="AA9" s="34" t="s">
        <v>32</v>
      </c>
      <c r="AB9" s="116"/>
    </row>
    <row r="10" spans="1:28" ht="15" customHeight="1" x14ac:dyDescent="0.35">
      <c r="A10" s="264"/>
      <c r="B10" s="272"/>
      <c r="C10" s="272"/>
      <c r="D10" s="25" t="s">
        <v>33</v>
      </c>
      <c r="E10" s="25" t="s">
        <v>34</v>
      </c>
      <c r="F10" s="26" t="s">
        <v>28</v>
      </c>
      <c r="G10" s="27" t="s">
        <v>29</v>
      </c>
      <c r="H10" s="27">
        <v>20</v>
      </c>
      <c r="I10" s="35">
        <v>500</v>
      </c>
      <c r="J10" s="35">
        <v>0</v>
      </c>
      <c r="K10" s="35">
        <v>10000</v>
      </c>
      <c r="L10" s="35"/>
      <c r="M10" s="35"/>
      <c r="N10" s="35"/>
      <c r="O10" s="35"/>
      <c r="P10" s="114">
        <v>0</v>
      </c>
      <c r="Q10" s="226">
        <v>0</v>
      </c>
      <c r="R10" s="32">
        <f t="shared" si="0"/>
        <v>0</v>
      </c>
      <c r="S10" s="32"/>
      <c r="T10" s="32"/>
      <c r="U10" s="32">
        <f t="shared" si="1"/>
        <v>0</v>
      </c>
      <c r="V10" s="32"/>
      <c r="W10" s="112">
        <v>0</v>
      </c>
      <c r="X10" s="32"/>
      <c r="Y10" s="32"/>
      <c r="Z10" s="32">
        <f t="shared" si="2"/>
        <v>0</v>
      </c>
      <c r="AA10" s="34" t="s">
        <v>35</v>
      </c>
      <c r="AB10" s="116"/>
    </row>
    <row r="11" spans="1:28" ht="15" customHeight="1" x14ac:dyDescent="0.35">
      <c r="A11" s="264"/>
      <c r="B11" s="272"/>
      <c r="C11" s="272"/>
      <c r="D11" s="25" t="s">
        <v>17</v>
      </c>
      <c r="E11" s="25" t="s">
        <v>27</v>
      </c>
      <c r="F11" s="26" t="s">
        <v>36</v>
      </c>
      <c r="G11" s="27" t="s">
        <v>37</v>
      </c>
      <c r="H11" s="27">
        <v>4</v>
      </c>
      <c r="I11" s="35">
        <v>3500</v>
      </c>
      <c r="J11" s="35">
        <v>14000</v>
      </c>
      <c r="K11" s="35">
        <v>0</v>
      </c>
      <c r="L11" s="35"/>
      <c r="M11" s="35"/>
      <c r="N11" s="35"/>
      <c r="O11" s="35"/>
      <c r="P11" s="114">
        <v>14000</v>
      </c>
      <c r="Q11" s="226">
        <v>7000</v>
      </c>
      <c r="R11" s="32">
        <f t="shared" si="0"/>
        <v>7000</v>
      </c>
      <c r="S11" s="32"/>
      <c r="T11" s="32"/>
      <c r="U11" s="32">
        <f t="shared" si="1"/>
        <v>7000</v>
      </c>
      <c r="V11" s="32"/>
      <c r="W11" s="112">
        <v>7000</v>
      </c>
      <c r="X11" s="32"/>
      <c r="Y11" s="32"/>
      <c r="Z11" s="32">
        <f t="shared" si="2"/>
        <v>0</v>
      </c>
      <c r="AA11" s="34" t="s">
        <v>38</v>
      </c>
      <c r="AB11" s="116" t="s">
        <v>2</v>
      </c>
    </row>
    <row r="12" spans="1:28" ht="15" customHeight="1" x14ac:dyDescent="0.35">
      <c r="A12" s="264"/>
      <c r="B12" s="272"/>
      <c r="C12" s="272"/>
      <c r="D12" s="25" t="s">
        <v>17</v>
      </c>
      <c r="E12" s="25" t="s">
        <v>27</v>
      </c>
      <c r="F12" s="26" t="s">
        <v>39</v>
      </c>
      <c r="G12" s="27" t="s">
        <v>40</v>
      </c>
      <c r="H12" s="27">
        <v>1</v>
      </c>
      <c r="I12" s="35">
        <v>10150</v>
      </c>
      <c r="J12" s="35">
        <v>10150</v>
      </c>
      <c r="K12" s="35">
        <v>0</v>
      </c>
      <c r="L12" s="35"/>
      <c r="M12" s="35">
        <v>8163.89</v>
      </c>
      <c r="N12" s="35"/>
      <c r="O12" s="35"/>
      <c r="P12" s="114">
        <v>1986.1099999999997</v>
      </c>
      <c r="Q12" s="226">
        <v>1986.11</v>
      </c>
      <c r="R12" s="32">
        <f t="shared" si="0"/>
        <v>10150</v>
      </c>
      <c r="S12" s="32"/>
      <c r="T12" s="32">
        <v>0</v>
      </c>
      <c r="U12" s="32">
        <f t="shared" si="1"/>
        <v>0</v>
      </c>
      <c r="V12" s="32"/>
      <c r="W12" s="112">
        <v>0</v>
      </c>
      <c r="X12" s="32"/>
      <c r="Y12" s="32"/>
      <c r="Z12" s="32">
        <f t="shared" si="2"/>
        <v>0</v>
      </c>
      <c r="AA12" s="34" t="s">
        <v>41</v>
      </c>
      <c r="AB12" s="116" t="s">
        <v>2</v>
      </c>
    </row>
    <row r="13" spans="1:28" s="44" customFormat="1" ht="15" customHeight="1" x14ac:dyDescent="0.35">
      <c r="A13" s="264"/>
      <c r="B13" s="272"/>
      <c r="C13" s="39"/>
      <c r="D13" s="39"/>
      <c r="E13" s="39"/>
      <c r="F13" s="40"/>
      <c r="G13" s="41"/>
      <c r="H13" s="41"/>
      <c r="I13" s="42"/>
      <c r="J13" s="42">
        <f>SUM(J8:J12)</f>
        <v>139400</v>
      </c>
      <c r="K13" s="42">
        <f t="shared" ref="K13:L13" si="3">SUM(K8:K12)</f>
        <v>33200</v>
      </c>
      <c r="L13" s="42">
        <f t="shared" si="3"/>
        <v>0</v>
      </c>
      <c r="M13" s="42">
        <f>SUM(M8:M12)</f>
        <v>75738.289999999994</v>
      </c>
      <c r="N13" s="42">
        <f t="shared" ref="N13:V13" si="4">SUM(N8:N12)</f>
        <v>13231.02</v>
      </c>
      <c r="O13" s="42">
        <f t="shared" si="4"/>
        <v>0</v>
      </c>
      <c r="P13" s="42">
        <f t="shared" si="4"/>
        <v>50430.69</v>
      </c>
      <c r="Q13" s="42">
        <f t="shared" si="4"/>
        <v>43430.69</v>
      </c>
      <c r="R13" s="42">
        <f t="shared" si="4"/>
        <v>132400</v>
      </c>
      <c r="S13" s="42">
        <f t="shared" si="4"/>
        <v>-80805.42</v>
      </c>
      <c r="T13" s="42">
        <f t="shared" si="4"/>
        <v>0</v>
      </c>
      <c r="U13" s="42">
        <f t="shared" si="4"/>
        <v>7000</v>
      </c>
      <c r="V13" s="42">
        <f t="shared" si="4"/>
        <v>0</v>
      </c>
      <c r="W13" s="42">
        <f t="shared" ref="W13:Z13" si="5">SUM(W8:W12)</f>
        <v>7000</v>
      </c>
      <c r="X13" s="42">
        <f t="shared" si="5"/>
        <v>0</v>
      </c>
      <c r="Y13" s="42">
        <f t="shared" si="5"/>
        <v>0</v>
      </c>
      <c r="Z13" s="42">
        <f t="shared" si="5"/>
        <v>0</v>
      </c>
      <c r="AA13" s="43"/>
      <c r="AB13" s="117"/>
    </row>
    <row r="14" spans="1:28" ht="15" customHeight="1" x14ac:dyDescent="0.35">
      <c r="A14" s="264"/>
      <c r="B14" s="272"/>
      <c r="C14" s="272" t="s">
        <v>42</v>
      </c>
      <c r="D14" s="25" t="s">
        <v>17</v>
      </c>
      <c r="E14" s="25" t="s">
        <v>34</v>
      </c>
      <c r="F14" s="26" t="s">
        <v>43</v>
      </c>
      <c r="G14" s="27" t="s">
        <v>44</v>
      </c>
      <c r="H14" s="27">
        <v>4.5</v>
      </c>
      <c r="I14" s="45">
        <v>16640</v>
      </c>
      <c r="J14" s="45">
        <v>82738</v>
      </c>
      <c r="K14" s="45">
        <v>0</v>
      </c>
      <c r="L14" s="45">
        <v>0</v>
      </c>
      <c r="M14" s="45">
        <v>12723.91</v>
      </c>
      <c r="N14" s="45">
        <v>14077.54</v>
      </c>
      <c r="O14" s="45">
        <v>14122.79</v>
      </c>
      <c r="P14" s="118">
        <v>41813.759999999995</v>
      </c>
      <c r="Q14" s="119">
        <v>14046.76</v>
      </c>
      <c r="R14" s="32">
        <f t="shared" si="0"/>
        <v>54971.000000000007</v>
      </c>
      <c r="S14" s="32">
        <f t="shared" ref="S14:S32" si="6">P14-R14</f>
        <v>-13157.240000000013</v>
      </c>
      <c r="T14" s="32">
        <f t="shared" ref="T14:T32" si="7">P14-R14</f>
        <v>-13157.240000000013</v>
      </c>
      <c r="U14" s="32">
        <f t="shared" si="1"/>
        <v>27766.999999999993</v>
      </c>
      <c r="V14" s="32">
        <v>16000</v>
      </c>
      <c r="W14" s="119"/>
      <c r="X14" s="32">
        <v>16000</v>
      </c>
      <c r="Y14" s="32">
        <v>16000</v>
      </c>
      <c r="Z14" s="32">
        <f t="shared" ref="Z14:Z32" si="8">U14-(W14+X14+Y14)</f>
        <v>-4233.0000000000073</v>
      </c>
      <c r="AA14" s="34" t="s">
        <v>45</v>
      </c>
      <c r="AB14" s="288" t="s">
        <v>1120</v>
      </c>
    </row>
    <row r="15" spans="1:28" ht="15" customHeight="1" x14ac:dyDescent="0.35">
      <c r="A15" s="264"/>
      <c r="B15" s="272"/>
      <c r="C15" s="272"/>
      <c r="D15" s="25" t="s">
        <v>17</v>
      </c>
      <c r="E15" s="25" t="s">
        <v>34</v>
      </c>
      <c r="F15" s="26" t="s">
        <v>46</v>
      </c>
      <c r="G15" s="27" t="s">
        <v>44</v>
      </c>
      <c r="H15" s="27">
        <v>4.5</v>
      </c>
      <c r="I15" s="45">
        <v>16640</v>
      </c>
      <c r="J15" s="45">
        <v>82738</v>
      </c>
      <c r="K15" s="45">
        <v>0</v>
      </c>
      <c r="L15" s="45">
        <v>0</v>
      </c>
      <c r="M15" s="45">
        <v>12723.91</v>
      </c>
      <c r="N15" s="45">
        <v>14077.54</v>
      </c>
      <c r="O15" s="45">
        <v>14077.54</v>
      </c>
      <c r="P15" s="118">
        <v>41859.009999999995</v>
      </c>
      <c r="Q15" s="119">
        <v>14046.76</v>
      </c>
      <c r="R15" s="32">
        <f t="shared" si="0"/>
        <v>54925.750000000007</v>
      </c>
      <c r="S15" s="32">
        <f t="shared" si="6"/>
        <v>-13066.740000000013</v>
      </c>
      <c r="T15" s="32">
        <f t="shared" si="7"/>
        <v>-13066.740000000013</v>
      </c>
      <c r="U15" s="32">
        <f t="shared" si="1"/>
        <v>27812.249999999993</v>
      </c>
      <c r="V15" s="32">
        <v>1300</v>
      </c>
      <c r="W15" s="119"/>
      <c r="X15" s="32">
        <v>16000</v>
      </c>
      <c r="Y15" s="32">
        <v>9012.2999999999993</v>
      </c>
      <c r="Z15" s="32">
        <f t="shared" si="8"/>
        <v>2799.9499999999935</v>
      </c>
      <c r="AA15" s="34" t="s">
        <v>47</v>
      </c>
      <c r="AB15" s="289"/>
    </row>
    <row r="16" spans="1:28" ht="15" customHeight="1" x14ac:dyDescent="0.35">
      <c r="A16" s="264"/>
      <c r="B16" s="272"/>
      <c r="C16" s="272"/>
      <c r="D16" s="25" t="s">
        <v>17</v>
      </c>
      <c r="E16" s="25" t="s">
        <v>34</v>
      </c>
      <c r="F16" s="26" t="s">
        <v>46</v>
      </c>
      <c r="G16" s="27" t="s">
        <v>44</v>
      </c>
      <c r="H16" s="27">
        <v>4.5</v>
      </c>
      <c r="I16" s="45">
        <v>16640</v>
      </c>
      <c r="J16" s="45">
        <v>82738</v>
      </c>
      <c r="K16" s="45">
        <v>0</v>
      </c>
      <c r="L16" s="45">
        <v>0</v>
      </c>
      <c r="M16" s="45">
        <v>12723.91</v>
      </c>
      <c r="N16" s="45">
        <v>14077.54</v>
      </c>
      <c r="O16" s="45">
        <v>14077.52</v>
      </c>
      <c r="P16" s="118">
        <v>41859.03</v>
      </c>
      <c r="Q16" s="119">
        <v>14046.76</v>
      </c>
      <c r="R16" s="32">
        <f t="shared" si="0"/>
        <v>54925.73</v>
      </c>
      <c r="S16" s="32">
        <f t="shared" si="6"/>
        <v>-13066.700000000004</v>
      </c>
      <c r="T16" s="32">
        <f t="shared" si="7"/>
        <v>-13066.700000000004</v>
      </c>
      <c r="U16" s="32">
        <f t="shared" si="1"/>
        <v>27812.269999999997</v>
      </c>
      <c r="V16" s="32">
        <v>16000</v>
      </c>
      <c r="W16" s="119"/>
      <c r="X16" s="32">
        <v>16000</v>
      </c>
      <c r="Y16" s="32">
        <v>16000</v>
      </c>
      <c r="Z16" s="32">
        <f t="shared" si="8"/>
        <v>-4187.7300000000032</v>
      </c>
      <c r="AA16" s="34" t="s">
        <v>48</v>
      </c>
      <c r="AB16" s="290"/>
    </row>
    <row r="17" spans="1:28" ht="15" customHeight="1" x14ac:dyDescent="0.35">
      <c r="A17" s="264"/>
      <c r="B17" s="272"/>
      <c r="C17" s="272"/>
      <c r="D17" s="25" t="s">
        <v>17</v>
      </c>
      <c r="E17" s="25" t="s">
        <v>34</v>
      </c>
      <c r="F17" s="26" t="s">
        <v>28</v>
      </c>
      <c r="G17" s="27" t="s">
        <v>44</v>
      </c>
      <c r="H17" s="27">
        <v>3</v>
      </c>
      <c r="I17" s="45">
        <f>I16/2</f>
        <v>8320</v>
      </c>
      <c r="J17" s="45">
        <v>24960</v>
      </c>
      <c r="K17" s="45">
        <v>0</v>
      </c>
      <c r="L17" s="45"/>
      <c r="M17" s="45"/>
      <c r="N17" s="45"/>
      <c r="O17" s="45">
        <v>7580.21</v>
      </c>
      <c r="P17" s="118">
        <v>17379.79</v>
      </c>
      <c r="Q17" s="119">
        <v>45560.87</v>
      </c>
      <c r="R17" s="32">
        <f t="shared" si="0"/>
        <v>53141.08</v>
      </c>
      <c r="S17" s="32">
        <f t="shared" si="6"/>
        <v>-35761.29</v>
      </c>
      <c r="T17" s="32">
        <f t="shared" si="7"/>
        <v>-35761.29</v>
      </c>
      <c r="U17" s="32">
        <f t="shared" si="1"/>
        <v>-28181.08</v>
      </c>
      <c r="V17" s="32">
        <v>7000</v>
      </c>
      <c r="W17" s="119"/>
      <c r="X17" s="32"/>
      <c r="Y17" s="32"/>
      <c r="Z17" s="32">
        <f t="shared" si="8"/>
        <v>-28181.08</v>
      </c>
      <c r="AA17" s="34" t="s">
        <v>49</v>
      </c>
      <c r="AB17" s="116" t="s">
        <v>540</v>
      </c>
    </row>
    <row r="18" spans="1:28" ht="15" customHeight="1" x14ac:dyDescent="0.35">
      <c r="A18" s="264"/>
      <c r="B18" s="272"/>
      <c r="C18" s="272"/>
      <c r="D18" s="25" t="s">
        <v>33</v>
      </c>
      <c r="E18" s="25" t="s">
        <v>34</v>
      </c>
      <c r="F18" s="26" t="s">
        <v>28</v>
      </c>
      <c r="G18" s="27" t="s">
        <v>44</v>
      </c>
      <c r="H18" s="27">
        <v>4</v>
      </c>
      <c r="I18" s="45">
        <v>3000</v>
      </c>
      <c r="J18" s="45">
        <v>0</v>
      </c>
      <c r="K18" s="45">
        <v>12000</v>
      </c>
      <c r="L18" s="45"/>
      <c r="M18" s="45"/>
      <c r="N18" s="45"/>
      <c r="O18" s="45">
        <v>0</v>
      </c>
      <c r="P18" s="118">
        <v>0</v>
      </c>
      <c r="Q18" s="119">
        <v>0</v>
      </c>
      <c r="R18" s="32">
        <f t="shared" si="0"/>
        <v>0</v>
      </c>
      <c r="S18" s="32">
        <f t="shared" si="6"/>
        <v>0</v>
      </c>
      <c r="T18" s="32">
        <f t="shared" si="7"/>
        <v>0</v>
      </c>
      <c r="U18" s="32">
        <f t="shared" si="1"/>
        <v>0</v>
      </c>
      <c r="V18" s="32"/>
      <c r="W18" s="119"/>
      <c r="X18" s="32"/>
      <c r="Y18" s="32"/>
      <c r="Z18" s="32">
        <f t="shared" si="8"/>
        <v>0</v>
      </c>
      <c r="AA18" s="34" t="s">
        <v>50</v>
      </c>
      <c r="AB18" s="116"/>
    </row>
    <row r="19" spans="1:28" ht="15" customHeight="1" x14ac:dyDescent="0.35">
      <c r="A19" s="264"/>
      <c r="B19" s="272"/>
      <c r="C19" s="272"/>
      <c r="D19" s="25" t="s">
        <v>17</v>
      </c>
      <c r="E19" s="25" t="s">
        <v>27</v>
      </c>
      <c r="F19" s="26" t="s">
        <v>28</v>
      </c>
      <c r="G19" s="27" t="s">
        <v>29</v>
      </c>
      <c r="H19" s="27">
        <v>10.6</v>
      </c>
      <c r="I19" s="45">
        <v>2866.6666</v>
      </c>
      <c r="J19" s="45">
        <v>30499.999599999999</v>
      </c>
      <c r="K19" s="45">
        <v>0</v>
      </c>
      <c r="L19" s="45"/>
      <c r="M19" s="45">
        <v>15176.1</v>
      </c>
      <c r="N19" s="45">
        <v>8361.5300000000007</v>
      </c>
      <c r="O19" s="45">
        <v>0</v>
      </c>
      <c r="P19" s="118">
        <v>6962.3695999999982</v>
      </c>
      <c r="Q19" s="119">
        <v>6962.37</v>
      </c>
      <c r="R19" s="32">
        <f t="shared" si="0"/>
        <v>30500</v>
      </c>
      <c r="S19" s="32">
        <f t="shared" si="6"/>
        <v>-23537.630400000002</v>
      </c>
      <c r="T19" s="32">
        <f t="shared" si="7"/>
        <v>-23537.630400000002</v>
      </c>
      <c r="U19" s="32">
        <f t="shared" si="1"/>
        <v>-4.0000000171858119E-4</v>
      </c>
      <c r="V19" s="32"/>
      <c r="W19" s="119"/>
      <c r="X19" s="32"/>
      <c r="Y19" s="32"/>
      <c r="Z19" s="32">
        <f t="shared" si="8"/>
        <v>-4.0000000171858119E-4</v>
      </c>
      <c r="AA19" s="34" t="s">
        <v>51</v>
      </c>
      <c r="AB19" s="116"/>
    </row>
    <row r="20" spans="1:28" ht="15" customHeight="1" x14ac:dyDescent="0.35">
      <c r="A20" s="264"/>
      <c r="B20" s="272"/>
      <c r="C20" s="272"/>
      <c r="D20" s="25" t="s">
        <v>31</v>
      </c>
      <c r="E20" s="25" t="s">
        <v>27</v>
      </c>
      <c r="F20" s="26" t="s">
        <v>28</v>
      </c>
      <c r="G20" s="27" t="s">
        <v>29</v>
      </c>
      <c r="H20" s="27">
        <v>10</v>
      </c>
      <c r="I20" s="45">
        <f>6000/10</f>
        <v>600</v>
      </c>
      <c r="J20" s="45">
        <v>0</v>
      </c>
      <c r="K20" s="45">
        <v>6000</v>
      </c>
      <c r="L20" s="45"/>
      <c r="M20" s="45"/>
      <c r="N20" s="45"/>
      <c r="O20" s="45">
        <v>0</v>
      </c>
      <c r="P20" s="118">
        <v>0</v>
      </c>
      <c r="Q20" s="119">
        <v>0</v>
      </c>
      <c r="R20" s="32">
        <f t="shared" si="0"/>
        <v>0</v>
      </c>
      <c r="S20" s="32">
        <f t="shared" si="6"/>
        <v>0</v>
      </c>
      <c r="T20" s="32">
        <f t="shared" si="7"/>
        <v>0</v>
      </c>
      <c r="U20" s="32">
        <f t="shared" si="1"/>
        <v>0</v>
      </c>
      <c r="V20" s="32"/>
      <c r="W20" s="119"/>
      <c r="X20" s="32"/>
      <c r="Y20" s="32"/>
      <c r="Z20" s="32">
        <f t="shared" si="8"/>
        <v>0</v>
      </c>
      <c r="AA20" s="34" t="s">
        <v>52</v>
      </c>
      <c r="AB20" s="116"/>
    </row>
    <row r="21" spans="1:28" ht="15" customHeight="1" x14ac:dyDescent="0.35">
      <c r="A21" s="264"/>
      <c r="B21" s="272"/>
      <c r="C21" s="272"/>
      <c r="D21" s="25" t="s">
        <v>17</v>
      </c>
      <c r="E21" s="25" t="s">
        <v>27</v>
      </c>
      <c r="F21" s="26" t="s">
        <v>53</v>
      </c>
      <c r="G21" s="27" t="s">
        <v>29</v>
      </c>
      <c r="H21" s="27">
        <v>6</v>
      </c>
      <c r="I21" s="45">
        <v>4000</v>
      </c>
      <c r="J21" s="45">
        <v>24000</v>
      </c>
      <c r="K21" s="45">
        <v>0</v>
      </c>
      <c r="L21" s="45">
        <v>0</v>
      </c>
      <c r="M21" s="45"/>
      <c r="N21" s="45"/>
      <c r="O21" s="45">
        <v>0</v>
      </c>
      <c r="P21" s="118">
        <v>24000</v>
      </c>
      <c r="Q21" s="119">
        <v>0</v>
      </c>
      <c r="R21" s="32">
        <f t="shared" si="0"/>
        <v>0</v>
      </c>
      <c r="S21" s="32">
        <f t="shared" si="6"/>
        <v>24000</v>
      </c>
      <c r="T21" s="32">
        <f t="shared" si="7"/>
        <v>24000</v>
      </c>
      <c r="U21" s="32">
        <f t="shared" si="1"/>
        <v>24000</v>
      </c>
      <c r="V21" s="32"/>
      <c r="W21" s="119"/>
      <c r="X21" s="32"/>
      <c r="Y21" s="32"/>
      <c r="Z21" s="32">
        <f t="shared" si="8"/>
        <v>24000</v>
      </c>
      <c r="AA21" s="34" t="s">
        <v>54</v>
      </c>
      <c r="AB21" s="116" t="s">
        <v>541</v>
      </c>
    </row>
    <row r="22" spans="1:28" ht="15" customHeight="1" x14ac:dyDescent="0.35">
      <c r="A22" s="264"/>
      <c r="B22" s="272"/>
      <c r="C22" s="272"/>
      <c r="D22" s="25" t="s">
        <v>17</v>
      </c>
      <c r="E22" s="25" t="s">
        <v>27</v>
      </c>
      <c r="F22" s="26" t="s">
        <v>36</v>
      </c>
      <c r="G22" s="27" t="s">
        <v>55</v>
      </c>
      <c r="H22" s="27">
        <v>2</v>
      </c>
      <c r="I22" s="45">
        <v>3500</v>
      </c>
      <c r="J22" s="45">
        <v>7000</v>
      </c>
      <c r="K22" s="45">
        <v>0</v>
      </c>
      <c r="L22" s="45"/>
      <c r="M22" s="45"/>
      <c r="N22" s="45"/>
      <c r="O22" s="45">
        <v>0</v>
      </c>
      <c r="P22" s="118">
        <v>7000</v>
      </c>
      <c r="Q22" s="119">
        <v>7000</v>
      </c>
      <c r="R22" s="32">
        <f t="shared" si="0"/>
        <v>7000</v>
      </c>
      <c r="S22" s="32">
        <f t="shared" si="6"/>
        <v>0</v>
      </c>
      <c r="T22" s="32">
        <f t="shared" si="7"/>
        <v>0</v>
      </c>
      <c r="U22" s="32">
        <f t="shared" si="1"/>
        <v>0</v>
      </c>
      <c r="V22" s="32"/>
      <c r="W22" s="119"/>
      <c r="X22" s="32"/>
      <c r="Y22" s="32"/>
      <c r="Z22" s="32">
        <f t="shared" si="8"/>
        <v>0</v>
      </c>
      <c r="AA22" s="34" t="s">
        <v>56</v>
      </c>
      <c r="AB22" s="116"/>
    </row>
    <row r="23" spans="1:28" ht="15" customHeight="1" x14ac:dyDescent="0.35">
      <c r="A23" s="264"/>
      <c r="B23" s="272"/>
      <c r="C23" s="272"/>
      <c r="D23" s="25" t="s">
        <v>17</v>
      </c>
      <c r="E23" s="25" t="s">
        <v>34</v>
      </c>
      <c r="F23" s="26" t="s">
        <v>57</v>
      </c>
      <c r="G23" s="27" t="s">
        <v>58</v>
      </c>
      <c r="H23" s="27">
        <v>15</v>
      </c>
      <c r="I23" s="45">
        <v>500</v>
      </c>
      <c r="J23" s="45">
        <v>7500</v>
      </c>
      <c r="K23" s="45">
        <v>0</v>
      </c>
      <c r="L23" s="45"/>
      <c r="M23" s="45"/>
      <c r="N23" s="45"/>
      <c r="O23" s="45">
        <v>0</v>
      </c>
      <c r="P23" s="118">
        <v>7500</v>
      </c>
      <c r="Q23" s="119">
        <v>0</v>
      </c>
      <c r="R23" s="32">
        <f t="shared" si="0"/>
        <v>0</v>
      </c>
      <c r="S23" s="32">
        <f t="shared" si="6"/>
        <v>7500</v>
      </c>
      <c r="T23" s="32">
        <f t="shared" si="7"/>
        <v>7500</v>
      </c>
      <c r="U23" s="32">
        <f t="shared" si="1"/>
        <v>7500</v>
      </c>
      <c r="V23" s="32"/>
      <c r="W23" s="119"/>
      <c r="X23" s="32"/>
      <c r="Y23" s="32"/>
      <c r="Z23" s="32">
        <f t="shared" si="8"/>
        <v>7500</v>
      </c>
      <c r="AA23" s="34" t="s">
        <v>59</v>
      </c>
      <c r="AB23" s="116" t="s">
        <v>542</v>
      </c>
    </row>
    <row r="24" spans="1:28" ht="15" customHeight="1" x14ac:dyDescent="0.35">
      <c r="A24" s="264"/>
      <c r="B24" s="272"/>
      <c r="C24" s="272"/>
      <c r="D24" s="25" t="s">
        <v>17</v>
      </c>
      <c r="E24" s="25" t="s">
        <v>34</v>
      </c>
      <c r="F24" s="26" t="s">
        <v>36</v>
      </c>
      <c r="G24" s="27" t="s">
        <v>55</v>
      </c>
      <c r="H24" s="27">
        <v>2</v>
      </c>
      <c r="I24" s="45">
        <v>3500</v>
      </c>
      <c r="J24" s="45">
        <v>7000</v>
      </c>
      <c r="K24" s="45">
        <v>0</v>
      </c>
      <c r="L24" s="45"/>
      <c r="M24" s="45"/>
      <c r="N24" s="45"/>
      <c r="O24" s="45">
        <v>0</v>
      </c>
      <c r="P24" s="118">
        <v>7000</v>
      </c>
      <c r="Q24" s="119">
        <v>0</v>
      </c>
      <c r="R24" s="32">
        <f t="shared" si="0"/>
        <v>0</v>
      </c>
      <c r="S24" s="32">
        <f t="shared" si="6"/>
        <v>7000</v>
      </c>
      <c r="T24" s="32">
        <f t="shared" si="7"/>
        <v>7000</v>
      </c>
      <c r="U24" s="32">
        <f t="shared" si="1"/>
        <v>7000</v>
      </c>
      <c r="V24" s="32"/>
      <c r="W24" s="119"/>
      <c r="X24" s="32"/>
      <c r="Y24" s="32"/>
      <c r="Z24" s="32">
        <f t="shared" si="8"/>
        <v>7000</v>
      </c>
      <c r="AA24" s="34" t="s">
        <v>60</v>
      </c>
      <c r="AB24" s="116" t="s">
        <v>543</v>
      </c>
    </row>
    <row r="25" spans="1:28" ht="15" customHeight="1" x14ac:dyDescent="0.35">
      <c r="A25" s="264"/>
      <c r="B25" s="272"/>
      <c r="C25" s="272"/>
      <c r="D25" s="25" t="s">
        <v>17</v>
      </c>
      <c r="E25" s="25" t="s">
        <v>34</v>
      </c>
      <c r="F25" s="26" t="s">
        <v>61</v>
      </c>
      <c r="G25" s="27" t="s">
        <v>62</v>
      </c>
      <c r="H25" s="27">
        <v>2</v>
      </c>
      <c r="I25" s="35">
        <v>9950</v>
      </c>
      <c r="J25" s="35">
        <v>19900</v>
      </c>
      <c r="K25" s="35">
        <v>0</v>
      </c>
      <c r="L25" s="35"/>
      <c r="M25" s="35"/>
      <c r="N25" s="35"/>
      <c r="O25" s="35">
        <v>23220.61</v>
      </c>
      <c r="P25" s="114">
        <v>-3320.6100000000006</v>
      </c>
      <c r="Q25" s="119">
        <v>0</v>
      </c>
      <c r="R25" s="32">
        <f t="shared" si="0"/>
        <v>23220.61</v>
      </c>
      <c r="S25" s="32">
        <f t="shared" si="6"/>
        <v>-26541.22</v>
      </c>
      <c r="T25" s="32">
        <f t="shared" si="7"/>
        <v>-26541.22</v>
      </c>
      <c r="U25" s="32">
        <f t="shared" si="1"/>
        <v>-3320.6100000000006</v>
      </c>
      <c r="V25" s="32"/>
      <c r="W25" s="119">
        <v>0</v>
      </c>
      <c r="X25" s="32"/>
      <c r="Y25" s="32"/>
      <c r="Z25" s="32">
        <f t="shared" si="8"/>
        <v>-3320.6100000000006</v>
      </c>
      <c r="AA25" s="34" t="s">
        <v>63</v>
      </c>
      <c r="AB25" s="116"/>
    </row>
    <row r="26" spans="1:28" ht="15" customHeight="1" x14ac:dyDescent="0.35">
      <c r="A26" s="264"/>
      <c r="B26" s="272"/>
      <c r="C26" s="272"/>
      <c r="D26" s="25" t="s">
        <v>17</v>
      </c>
      <c r="E26" s="25" t="s">
        <v>34</v>
      </c>
      <c r="F26" s="26" t="s">
        <v>64</v>
      </c>
      <c r="G26" s="27" t="s">
        <v>62</v>
      </c>
      <c r="H26" s="27">
        <v>1</v>
      </c>
      <c r="I26" s="35">
        <v>710</v>
      </c>
      <c r="J26" s="35">
        <v>710</v>
      </c>
      <c r="K26" s="35">
        <v>0</v>
      </c>
      <c r="L26" s="35"/>
      <c r="M26" s="35"/>
      <c r="N26" s="35"/>
      <c r="O26" s="35">
        <v>493.32</v>
      </c>
      <c r="P26" s="114">
        <v>216.68</v>
      </c>
      <c r="Q26" s="119">
        <v>62.41</v>
      </c>
      <c r="R26" s="32">
        <f t="shared" si="0"/>
        <v>555.73</v>
      </c>
      <c r="S26" s="32">
        <f t="shared" si="6"/>
        <v>-339.05</v>
      </c>
      <c r="T26" s="32">
        <f t="shared" si="7"/>
        <v>-339.05</v>
      </c>
      <c r="U26" s="32">
        <f t="shared" si="1"/>
        <v>154.27000000000001</v>
      </c>
      <c r="V26" s="32"/>
      <c r="W26" s="119"/>
      <c r="X26" s="32"/>
      <c r="Y26" s="32"/>
      <c r="Z26" s="32">
        <f t="shared" si="8"/>
        <v>154.27000000000001</v>
      </c>
      <c r="AA26" s="34" t="s">
        <v>65</v>
      </c>
      <c r="AB26" s="116"/>
    </row>
    <row r="27" spans="1:28" ht="15" customHeight="1" x14ac:dyDescent="0.35">
      <c r="A27" s="264"/>
      <c r="B27" s="272"/>
      <c r="C27" s="272"/>
      <c r="D27" s="25" t="s">
        <v>17</v>
      </c>
      <c r="E27" s="25" t="s">
        <v>34</v>
      </c>
      <c r="F27" s="26" t="s">
        <v>66</v>
      </c>
      <c r="G27" s="27" t="s">
        <v>62</v>
      </c>
      <c r="H27" s="27">
        <v>160</v>
      </c>
      <c r="I27" s="35">
        <v>17</v>
      </c>
      <c r="J27" s="35">
        <v>2720</v>
      </c>
      <c r="K27" s="35">
        <v>0</v>
      </c>
      <c r="L27" s="35"/>
      <c r="M27" s="35"/>
      <c r="N27" s="35"/>
      <c r="O27" s="35">
        <v>756.65</v>
      </c>
      <c r="P27" s="114">
        <v>1963.35</v>
      </c>
      <c r="Q27" s="119">
        <v>1565.52</v>
      </c>
      <c r="R27" s="32">
        <f t="shared" si="0"/>
        <v>2322.17</v>
      </c>
      <c r="S27" s="32">
        <f t="shared" si="6"/>
        <v>-358.82000000000016</v>
      </c>
      <c r="T27" s="32">
        <f t="shared" si="7"/>
        <v>-358.82000000000016</v>
      </c>
      <c r="U27" s="32">
        <f t="shared" si="1"/>
        <v>397.82999999999993</v>
      </c>
      <c r="V27" s="32"/>
      <c r="W27" s="119">
        <v>2000</v>
      </c>
      <c r="X27" s="32"/>
      <c r="Y27" s="32"/>
      <c r="Z27" s="32">
        <f t="shared" si="8"/>
        <v>-1602.17</v>
      </c>
      <c r="AA27" s="34" t="s">
        <v>67</v>
      </c>
      <c r="AB27" s="116" t="s">
        <v>544</v>
      </c>
    </row>
    <row r="28" spans="1:28" ht="15" customHeight="1" x14ac:dyDescent="0.35">
      <c r="A28" s="264"/>
      <c r="B28" s="272"/>
      <c r="C28" s="272"/>
      <c r="D28" s="25" t="s">
        <v>17</v>
      </c>
      <c r="E28" s="25" t="s">
        <v>34</v>
      </c>
      <c r="F28" s="26" t="s">
        <v>61</v>
      </c>
      <c r="G28" s="27" t="s">
        <v>62</v>
      </c>
      <c r="H28" s="27">
        <v>1</v>
      </c>
      <c r="I28" s="35">
        <v>1500</v>
      </c>
      <c r="J28" s="35">
        <v>1500</v>
      </c>
      <c r="K28" s="35">
        <v>0</v>
      </c>
      <c r="L28" s="35"/>
      <c r="M28" s="35"/>
      <c r="N28" s="35"/>
      <c r="O28" s="35">
        <v>2267.65</v>
      </c>
      <c r="P28" s="114">
        <v>-767.65000000000009</v>
      </c>
      <c r="Q28" s="119">
        <v>0</v>
      </c>
      <c r="R28" s="32">
        <f t="shared" si="0"/>
        <v>2267.65</v>
      </c>
      <c r="S28" s="32">
        <f t="shared" si="6"/>
        <v>-3035.3</v>
      </c>
      <c r="T28" s="32">
        <f t="shared" si="7"/>
        <v>-3035.3</v>
      </c>
      <c r="U28" s="32">
        <f t="shared" si="1"/>
        <v>-767.65000000000009</v>
      </c>
      <c r="V28" s="32"/>
      <c r="W28" s="119">
        <v>0</v>
      </c>
      <c r="X28" s="32"/>
      <c r="Y28" s="32"/>
      <c r="Z28" s="32">
        <f t="shared" si="8"/>
        <v>-767.65000000000009</v>
      </c>
      <c r="AA28" s="34" t="s">
        <v>68</v>
      </c>
      <c r="AB28" s="116"/>
    </row>
    <row r="29" spans="1:28" ht="15" customHeight="1" x14ac:dyDescent="0.35">
      <c r="A29" s="264"/>
      <c r="B29" s="272"/>
      <c r="C29" s="272"/>
      <c r="D29" s="25" t="s">
        <v>17</v>
      </c>
      <c r="E29" s="25" t="s">
        <v>34</v>
      </c>
      <c r="F29" s="26" t="s">
        <v>69</v>
      </c>
      <c r="G29" s="27"/>
      <c r="H29" s="27"/>
      <c r="I29" s="35"/>
      <c r="J29" s="35">
        <v>0</v>
      </c>
      <c r="K29" s="35">
        <v>0</v>
      </c>
      <c r="L29" s="35"/>
      <c r="M29" s="35"/>
      <c r="N29" s="35">
        <v>3591.21</v>
      </c>
      <c r="O29" s="35">
        <v>1492.26</v>
      </c>
      <c r="P29" s="114">
        <v>-5083.47</v>
      </c>
      <c r="Q29" s="119">
        <v>0</v>
      </c>
      <c r="R29" s="32">
        <f t="shared" si="0"/>
        <v>5083.47</v>
      </c>
      <c r="S29" s="32">
        <f t="shared" si="6"/>
        <v>-10166.94</v>
      </c>
      <c r="T29" s="32">
        <f t="shared" si="7"/>
        <v>-10166.94</v>
      </c>
      <c r="U29" s="32">
        <f t="shared" si="1"/>
        <v>-5083.47</v>
      </c>
      <c r="V29" s="32"/>
      <c r="W29" s="119">
        <v>0</v>
      </c>
      <c r="X29" s="32"/>
      <c r="Y29" s="32"/>
      <c r="Z29" s="32">
        <f t="shared" si="8"/>
        <v>-5083.47</v>
      </c>
      <c r="AA29" s="34"/>
      <c r="AB29" s="116"/>
    </row>
    <row r="30" spans="1:28" ht="15" customHeight="1" x14ac:dyDescent="0.35">
      <c r="A30" s="264"/>
      <c r="B30" s="272"/>
      <c r="C30" s="272"/>
      <c r="D30" s="25" t="s">
        <v>17</v>
      </c>
      <c r="E30" s="25" t="s">
        <v>34</v>
      </c>
      <c r="F30" s="26" t="s">
        <v>53</v>
      </c>
      <c r="G30" s="27" t="s">
        <v>62</v>
      </c>
      <c r="H30" s="27">
        <v>1</v>
      </c>
      <c r="I30" s="35">
        <v>1000</v>
      </c>
      <c r="J30" s="35">
        <v>1000</v>
      </c>
      <c r="K30" s="35">
        <v>0</v>
      </c>
      <c r="L30" s="35"/>
      <c r="M30" s="35"/>
      <c r="N30" s="35"/>
      <c r="O30" s="35">
        <v>2344.63</v>
      </c>
      <c r="P30" s="114">
        <v>-1344.63</v>
      </c>
      <c r="Q30" s="119">
        <v>0</v>
      </c>
      <c r="R30" s="32">
        <f t="shared" si="0"/>
        <v>2344.63</v>
      </c>
      <c r="S30" s="32">
        <f t="shared" si="6"/>
        <v>-3689.26</v>
      </c>
      <c r="T30" s="32">
        <f t="shared" si="7"/>
        <v>-3689.26</v>
      </c>
      <c r="U30" s="32">
        <f t="shared" si="1"/>
        <v>-1344.63</v>
      </c>
      <c r="V30" s="32"/>
      <c r="W30" s="119">
        <v>0</v>
      </c>
      <c r="X30" s="32"/>
      <c r="Y30" s="32"/>
      <c r="Z30" s="32">
        <f t="shared" si="8"/>
        <v>-1344.63</v>
      </c>
      <c r="AA30" s="34" t="s">
        <v>70</v>
      </c>
      <c r="AB30" s="116"/>
    </row>
    <row r="31" spans="1:28" ht="15" customHeight="1" x14ac:dyDescent="0.35">
      <c r="A31" s="264"/>
      <c r="B31" s="272"/>
      <c r="C31" s="272"/>
      <c r="D31" s="25" t="s">
        <v>17</v>
      </c>
      <c r="E31" s="25" t="s">
        <v>34</v>
      </c>
      <c r="F31" s="26" t="s">
        <v>71</v>
      </c>
      <c r="G31" s="27" t="s">
        <v>62</v>
      </c>
      <c r="H31" s="27">
        <v>1</v>
      </c>
      <c r="I31" s="35">
        <v>1000</v>
      </c>
      <c r="J31" s="35">
        <v>1000</v>
      </c>
      <c r="K31" s="35">
        <v>0</v>
      </c>
      <c r="L31" s="35"/>
      <c r="M31" s="35"/>
      <c r="N31" s="35"/>
      <c r="O31" s="35">
        <v>0</v>
      </c>
      <c r="P31" s="114">
        <v>1000</v>
      </c>
      <c r="Q31" s="119">
        <v>0</v>
      </c>
      <c r="R31" s="32">
        <f t="shared" si="0"/>
        <v>0</v>
      </c>
      <c r="S31" s="32">
        <f t="shared" si="6"/>
        <v>1000</v>
      </c>
      <c r="T31" s="32">
        <f t="shared" si="7"/>
        <v>1000</v>
      </c>
      <c r="U31" s="32">
        <f t="shared" si="1"/>
        <v>1000</v>
      </c>
      <c r="V31" s="32"/>
      <c r="W31" s="119">
        <v>0</v>
      </c>
      <c r="X31" s="32"/>
      <c r="Y31" s="32"/>
      <c r="Z31" s="32">
        <f t="shared" si="8"/>
        <v>1000</v>
      </c>
      <c r="AA31" s="34" t="s">
        <v>72</v>
      </c>
      <c r="AB31" s="116"/>
    </row>
    <row r="32" spans="1:28" ht="15" customHeight="1" x14ac:dyDescent="0.35">
      <c r="A32" s="264"/>
      <c r="B32" s="272"/>
      <c r="C32" s="272"/>
      <c r="D32" s="25" t="s">
        <v>17</v>
      </c>
      <c r="E32" s="25" t="s">
        <v>34</v>
      </c>
      <c r="F32" s="26" t="s">
        <v>73</v>
      </c>
      <c r="G32" s="27" t="s">
        <v>62</v>
      </c>
      <c r="H32" s="27">
        <v>4</v>
      </c>
      <c r="I32" s="35">
        <v>1000</v>
      </c>
      <c r="J32" s="35">
        <v>4000</v>
      </c>
      <c r="K32" s="35">
        <v>0</v>
      </c>
      <c r="L32" s="35"/>
      <c r="M32" s="35"/>
      <c r="N32" s="35"/>
      <c r="O32" s="35">
        <v>5787.05</v>
      </c>
      <c r="P32" s="114">
        <v>-1787.0500000000002</v>
      </c>
      <c r="Q32" s="119">
        <v>0</v>
      </c>
      <c r="R32" s="32">
        <f t="shared" si="0"/>
        <v>5787.05</v>
      </c>
      <c r="S32" s="32">
        <f t="shared" si="6"/>
        <v>-7574.1</v>
      </c>
      <c r="T32" s="32">
        <f t="shared" si="7"/>
        <v>-7574.1</v>
      </c>
      <c r="U32" s="32">
        <f t="shared" si="1"/>
        <v>-1787.0500000000002</v>
      </c>
      <c r="V32" s="32"/>
      <c r="W32" s="119">
        <v>0</v>
      </c>
      <c r="X32" s="32"/>
      <c r="Y32" s="32"/>
      <c r="Z32" s="32">
        <f t="shared" si="8"/>
        <v>-1787.0500000000002</v>
      </c>
      <c r="AA32" s="34" t="s">
        <v>74</v>
      </c>
      <c r="AB32" s="121"/>
    </row>
    <row r="33" spans="1:30" ht="15" customHeight="1" x14ac:dyDescent="0.35">
      <c r="A33" s="264"/>
      <c r="B33" s="272"/>
      <c r="C33" s="39"/>
      <c r="D33" s="39"/>
      <c r="E33" s="39"/>
      <c r="F33" s="40"/>
      <c r="G33" s="41"/>
      <c r="H33" s="41"/>
      <c r="I33" s="42"/>
      <c r="J33" s="42">
        <f>SUM(J14:J32)</f>
        <v>380003.99959999998</v>
      </c>
      <c r="K33" s="42">
        <f t="shared" ref="K33:L33" si="9">SUM(K14:K32)</f>
        <v>18000</v>
      </c>
      <c r="L33" s="42">
        <f t="shared" si="9"/>
        <v>0</v>
      </c>
      <c r="M33" s="42">
        <v>53347.829999999994</v>
      </c>
      <c r="N33" s="42">
        <v>54185.36</v>
      </c>
      <c r="O33" s="42">
        <v>86220.23000000001</v>
      </c>
      <c r="P33" s="42">
        <f>SUM(P14:P32)</f>
        <v>186250.57960000003</v>
      </c>
      <c r="Q33" s="42">
        <f t="shared" ref="Q33:T33" si="10">SUM(Q14:Q32)</f>
        <v>103291.45</v>
      </c>
      <c r="R33" s="42">
        <f t="shared" si="10"/>
        <v>297044.86999999994</v>
      </c>
      <c r="S33" s="42">
        <f t="shared" si="10"/>
        <v>-110794.29040000004</v>
      </c>
      <c r="T33" s="42">
        <f t="shared" si="10"/>
        <v>-110794.29040000004</v>
      </c>
      <c r="U33" s="42">
        <f>SUM(U14:U32)</f>
        <v>82959.129599999986</v>
      </c>
      <c r="V33" s="42">
        <f>SUM(V14:V32)</f>
        <v>40300</v>
      </c>
      <c r="W33" s="42">
        <f t="shared" ref="W33" si="11">SUM(W14:W32)</f>
        <v>2000</v>
      </c>
      <c r="X33" s="42">
        <f t="shared" ref="X33:Z33" si="12">SUM(X14:X32)</f>
        <v>48000</v>
      </c>
      <c r="Y33" s="42">
        <f t="shared" si="12"/>
        <v>41012.300000000003</v>
      </c>
      <c r="Z33" s="42">
        <f t="shared" si="12"/>
        <v>-8053.1704000000209</v>
      </c>
      <c r="AA33" s="49"/>
      <c r="AB33" s="122" t="s">
        <v>1074</v>
      </c>
    </row>
    <row r="34" spans="1:30" ht="15" customHeight="1" x14ac:dyDescent="0.35">
      <c r="A34" s="264"/>
      <c r="B34" s="272"/>
      <c r="C34" s="272" t="s">
        <v>75</v>
      </c>
      <c r="D34" s="25" t="s">
        <v>17</v>
      </c>
      <c r="E34" s="229" t="s">
        <v>27</v>
      </c>
      <c r="F34" s="26" t="s">
        <v>28</v>
      </c>
      <c r="G34" s="27" t="s">
        <v>29</v>
      </c>
      <c r="H34" s="51">
        <v>12</v>
      </c>
      <c r="I34" s="52">
        <v>2520.83</v>
      </c>
      <c r="J34" s="227">
        <v>30250</v>
      </c>
      <c r="K34" s="52">
        <v>0</v>
      </c>
      <c r="L34" s="52"/>
      <c r="M34" s="52"/>
      <c r="N34" s="52"/>
      <c r="O34" s="52"/>
      <c r="P34" s="123">
        <v>30250</v>
      </c>
      <c r="Q34" s="115">
        <v>30250</v>
      </c>
      <c r="R34" s="32">
        <f t="shared" si="0"/>
        <v>30250</v>
      </c>
      <c r="S34" s="32">
        <f>P34-R34</f>
        <v>0</v>
      </c>
      <c r="T34" s="32"/>
      <c r="U34" s="32">
        <f t="shared" si="1"/>
        <v>0</v>
      </c>
      <c r="V34" s="32"/>
      <c r="W34" s="115"/>
      <c r="X34" s="32"/>
      <c r="Y34" s="32"/>
      <c r="Z34" s="32">
        <f t="shared" ref="Z34:Z37" si="13">U34-(W34+X34+Y34)</f>
        <v>0</v>
      </c>
      <c r="AA34" s="34" t="s">
        <v>76</v>
      </c>
      <c r="AB34" s="116" t="s">
        <v>2</v>
      </c>
    </row>
    <row r="35" spans="1:30" ht="15" customHeight="1" x14ac:dyDescent="0.35">
      <c r="A35" s="264"/>
      <c r="B35" s="272"/>
      <c r="C35" s="272"/>
      <c r="D35" s="25" t="s">
        <v>31</v>
      </c>
      <c r="E35" s="50" t="s">
        <v>27</v>
      </c>
      <c r="F35" s="26" t="s">
        <v>28</v>
      </c>
      <c r="G35" s="27" t="s">
        <v>29</v>
      </c>
      <c r="H35" s="51">
        <v>12</v>
      </c>
      <c r="I35" s="52">
        <v>500</v>
      </c>
      <c r="J35" s="52">
        <v>0</v>
      </c>
      <c r="K35" s="52">
        <v>6000</v>
      </c>
      <c r="L35" s="52"/>
      <c r="M35" s="52"/>
      <c r="N35" s="52"/>
      <c r="O35" s="52"/>
      <c r="P35" s="123">
        <v>0</v>
      </c>
      <c r="Q35" s="115">
        <v>0</v>
      </c>
      <c r="R35" s="32">
        <f t="shared" si="0"/>
        <v>0</v>
      </c>
      <c r="S35" s="32">
        <f>P35-R35</f>
        <v>0</v>
      </c>
      <c r="T35" s="32"/>
      <c r="U35" s="32">
        <f t="shared" si="1"/>
        <v>0</v>
      </c>
      <c r="V35" s="32"/>
      <c r="W35" s="115"/>
      <c r="X35" s="32"/>
      <c r="Y35" s="32"/>
      <c r="Z35" s="32">
        <f t="shared" si="13"/>
        <v>0</v>
      </c>
      <c r="AA35" s="34" t="s">
        <v>77</v>
      </c>
      <c r="AB35" s="116"/>
    </row>
    <row r="36" spans="1:30" ht="15" customHeight="1" x14ac:dyDescent="0.35">
      <c r="A36" s="264"/>
      <c r="B36" s="272"/>
      <c r="C36" s="272"/>
      <c r="D36" s="25" t="s">
        <v>33</v>
      </c>
      <c r="E36" s="50" t="s">
        <v>34</v>
      </c>
      <c r="F36" s="26" t="s">
        <v>28</v>
      </c>
      <c r="G36" s="27" t="s">
        <v>29</v>
      </c>
      <c r="H36" s="51">
        <v>20</v>
      </c>
      <c r="I36" s="52">
        <v>500</v>
      </c>
      <c r="J36" s="52">
        <v>0</v>
      </c>
      <c r="K36" s="52">
        <v>10000</v>
      </c>
      <c r="L36" s="52"/>
      <c r="M36" s="52"/>
      <c r="N36" s="52"/>
      <c r="O36" s="52"/>
      <c r="P36" s="123">
        <v>0</v>
      </c>
      <c r="Q36" s="115">
        <v>0</v>
      </c>
      <c r="R36" s="32">
        <f t="shared" si="0"/>
        <v>0</v>
      </c>
      <c r="S36" s="32">
        <f>P36-R36</f>
        <v>0</v>
      </c>
      <c r="T36" s="32"/>
      <c r="U36" s="32">
        <f t="shared" si="1"/>
        <v>0</v>
      </c>
      <c r="V36" s="32"/>
      <c r="W36" s="115">
        <v>0</v>
      </c>
      <c r="X36" s="32"/>
      <c r="Y36" s="32"/>
      <c r="Z36" s="32">
        <f t="shared" si="13"/>
        <v>0</v>
      </c>
      <c r="AA36" s="34" t="s">
        <v>78</v>
      </c>
      <c r="AB36" s="116"/>
    </row>
    <row r="37" spans="1:30" ht="15" customHeight="1" x14ac:dyDescent="0.35">
      <c r="A37" s="264"/>
      <c r="B37" s="272"/>
      <c r="C37" s="272"/>
      <c r="D37" s="25" t="s">
        <v>17</v>
      </c>
      <c r="E37" s="229" t="s">
        <v>27</v>
      </c>
      <c r="F37" s="26" t="s">
        <v>36</v>
      </c>
      <c r="G37" s="27" t="s">
        <v>55</v>
      </c>
      <c r="H37" s="27">
        <v>1</v>
      </c>
      <c r="I37" s="45">
        <v>3500</v>
      </c>
      <c r="J37" s="228">
        <v>3500</v>
      </c>
      <c r="K37" s="45">
        <v>0</v>
      </c>
      <c r="L37" s="45"/>
      <c r="M37" s="45"/>
      <c r="N37" s="45"/>
      <c r="O37" s="45"/>
      <c r="P37" s="118">
        <v>3500</v>
      </c>
      <c r="Q37" s="115">
        <v>3500</v>
      </c>
      <c r="R37" s="32">
        <f t="shared" si="0"/>
        <v>3500</v>
      </c>
      <c r="S37" s="32">
        <f>P37-R37</f>
        <v>0</v>
      </c>
      <c r="T37" s="32"/>
      <c r="U37" s="32">
        <f t="shared" si="1"/>
        <v>0</v>
      </c>
      <c r="V37" s="32"/>
      <c r="W37" s="115">
        <v>15330</v>
      </c>
      <c r="X37" s="32">
        <v>15330</v>
      </c>
      <c r="Y37" s="32"/>
      <c r="Z37" s="32">
        <f t="shared" si="13"/>
        <v>-30660</v>
      </c>
      <c r="AA37" s="34" t="s">
        <v>79</v>
      </c>
      <c r="AB37" s="230" t="s">
        <v>1073</v>
      </c>
    </row>
    <row r="38" spans="1:30" ht="15" customHeight="1" x14ac:dyDescent="0.35">
      <c r="A38" s="264"/>
      <c r="B38" s="272"/>
      <c r="C38" s="39"/>
      <c r="D38" s="39"/>
      <c r="E38" s="53"/>
      <c r="F38" s="40"/>
      <c r="G38" s="41"/>
      <c r="H38" s="41"/>
      <c r="I38" s="54"/>
      <c r="J38" s="54">
        <f>SUM(J34:J37)</f>
        <v>33750</v>
      </c>
      <c r="K38" s="54">
        <f t="shared" ref="K38:L38" si="14">SUM(K34:K37)</f>
        <v>16000</v>
      </c>
      <c r="L38" s="54">
        <f t="shared" si="14"/>
        <v>0</v>
      </c>
      <c r="M38" s="54">
        <v>0</v>
      </c>
      <c r="N38" s="54">
        <v>0</v>
      </c>
      <c r="O38" s="54">
        <v>0</v>
      </c>
      <c r="P38" s="54">
        <f>SUM(P34:P37)</f>
        <v>33750</v>
      </c>
      <c r="Q38" s="54">
        <f t="shared" ref="Q38:Z38" si="15">SUM(Q34:Q37)</f>
        <v>33750</v>
      </c>
      <c r="R38" s="54">
        <f t="shared" si="15"/>
        <v>33750</v>
      </c>
      <c r="S38" s="54">
        <f t="shared" si="15"/>
        <v>0</v>
      </c>
      <c r="T38" s="54">
        <f t="shared" si="15"/>
        <v>0</v>
      </c>
      <c r="U38" s="54">
        <f t="shared" si="15"/>
        <v>0</v>
      </c>
      <c r="V38" s="54">
        <f t="shared" si="15"/>
        <v>0</v>
      </c>
      <c r="W38" s="54">
        <f t="shared" ref="W38" si="16">SUM(W34:W37)</f>
        <v>15330</v>
      </c>
      <c r="X38" s="54">
        <f t="shared" si="15"/>
        <v>15330</v>
      </c>
      <c r="Y38" s="54">
        <f t="shared" si="15"/>
        <v>0</v>
      </c>
      <c r="Z38" s="54">
        <f t="shared" si="15"/>
        <v>-30660</v>
      </c>
      <c r="AA38" s="49"/>
      <c r="AB38" s="117"/>
    </row>
    <row r="39" spans="1:30" ht="39" customHeight="1" x14ac:dyDescent="0.35">
      <c r="A39" s="264"/>
      <c r="B39" s="272"/>
      <c r="C39" s="272" t="s">
        <v>80</v>
      </c>
      <c r="D39" s="25" t="s">
        <v>17</v>
      </c>
      <c r="E39" s="50" t="s">
        <v>34</v>
      </c>
      <c r="F39" s="55" t="s">
        <v>28</v>
      </c>
      <c r="G39" s="27" t="s">
        <v>44</v>
      </c>
      <c r="H39" s="27">
        <v>4.3</v>
      </c>
      <c r="I39" s="45">
        <v>22000</v>
      </c>
      <c r="J39" s="45">
        <v>95067</v>
      </c>
      <c r="K39" s="45">
        <v>0</v>
      </c>
      <c r="L39" s="45"/>
      <c r="M39" s="45"/>
      <c r="N39" s="45"/>
      <c r="O39" s="45">
        <v>589.28</v>
      </c>
      <c r="P39" s="118">
        <v>94477.72</v>
      </c>
      <c r="Q39" s="115">
        <v>0</v>
      </c>
      <c r="R39" s="32">
        <f t="shared" si="0"/>
        <v>589.28</v>
      </c>
      <c r="S39" s="56">
        <f t="shared" ref="S39:S51" si="17">P39-R39</f>
        <v>93888.44</v>
      </c>
      <c r="T39" s="56"/>
      <c r="U39" s="32">
        <f t="shared" si="1"/>
        <v>94477.72</v>
      </c>
      <c r="V39" s="32"/>
      <c r="W39" s="115">
        <v>0</v>
      </c>
      <c r="X39" s="56">
        <f>44477.72-37567.92</f>
        <v>6909.8000000000029</v>
      </c>
      <c r="Y39" s="56">
        <v>50000</v>
      </c>
      <c r="Z39" s="32">
        <f t="shared" ref="Z39:Z51" si="18">U39-(W39+X39+Y39)</f>
        <v>37567.919999999998</v>
      </c>
      <c r="AA39" s="34" t="s">
        <v>81</v>
      </c>
      <c r="AB39" s="116" t="s">
        <v>545</v>
      </c>
    </row>
    <row r="40" spans="1:30" ht="34" customHeight="1" x14ac:dyDescent="0.35">
      <c r="A40" s="264"/>
      <c r="B40" s="272"/>
      <c r="C40" s="272"/>
      <c r="D40" s="25" t="s">
        <v>17</v>
      </c>
      <c r="E40" s="50" t="s">
        <v>34</v>
      </c>
      <c r="F40" s="55" t="s">
        <v>28</v>
      </c>
      <c r="G40" s="27" t="s">
        <v>44</v>
      </c>
      <c r="H40" s="27">
        <v>4.3</v>
      </c>
      <c r="I40" s="45">
        <v>22000</v>
      </c>
      <c r="J40" s="45">
        <v>95067</v>
      </c>
      <c r="K40" s="45">
        <v>0</v>
      </c>
      <c r="L40" s="45"/>
      <c r="M40" s="45"/>
      <c r="N40" s="45"/>
      <c r="O40" s="45">
        <v>0</v>
      </c>
      <c r="P40" s="118">
        <v>95067</v>
      </c>
      <c r="Q40" s="115">
        <v>0</v>
      </c>
      <c r="R40" s="32">
        <f t="shared" si="0"/>
        <v>0</v>
      </c>
      <c r="S40" s="56">
        <f t="shared" si="17"/>
        <v>95067</v>
      </c>
      <c r="T40" s="56"/>
      <c r="U40" s="32">
        <f t="shared" si="1"/>
        <v>95067</v>
      </c>
      <c r="V40" s="32"/>
      <c r="W40" s="115">
        <v>0</v>
      </c>
      <c r="X40" s="56">
        <v>28000</v>
      </c>
      <c r="Y40" s="56">
        <v>28000</v>
      </c>
      <c r="Z40" s="32">
        <f t="shared" si="18"/>
        <v>39067</v>
      </c>
      <c r="AA40" s="34" t="s">
        <v>82</v>
      </c>
      <c r="AB40" s="116" t="s">
        <v>1075</v>
      </c>
    </row>
    <row r="41" spans="1:30" ht="15" customHeight="1" x14ac:dyDescent="0.35">
      <c r="A41" s="264"/>
      <c r="B41" s="272"/>
      <c r="C41" s="272"/>
      <c r="D41" s="25" t="s">
        <v>17</v>
      </c>
      <c r="E41" s="50" t="s">
        <v>34</v>
      </c>
      <c r="F41" s="55" t="s">
        <v>57</v>
      </c>
      <c r="G41" s="27" t="s">
        <v>58</v>
      </c>
      <c r="H41" s="27">
        <v>30</v>
      </c>
      <c r="I41" s="45">
        <v>600</v>
      </c>
      <c r="J41" s="45">
        <v>18000</v>
      </c>
      <c r="K41" s="45">
        <v>0</v>
      </c>
      <c r="L41" s="45"/>
      <c r="M41" s="45"/>
      <c r="N41" s="45"/>
      <c r="O41" s="45">
        <v>0</v>
      </c>
      <c r="P41" s="118">
        <v>18000</v>
      </c>
      <c r="Q41" s="115">
        <v>0</v>
      </c>
      <c r="R41" s="32">
        <f t="shared" si="0"/>
        <v>0</v>
      </c>
      <c r="S41" s="56">
        <f t="shared" si="17"/>
        <v>18000</v>
      </c>
      <c r="T41" s="56"/>
      <c r="U41" s="32">
        <f t="shared" si="1"/>
        <v>18000</v>
      </c>
      <c r="V41" s="32"/>
      <c r="W41" s="115">
        <v>0</v>
      </c>
      <c r="X41" s="56"/>
      <c r="Y41" s="56"/>
      <c r="Z41" s="32">
        <f t="shared" si="18"/>
        <v>18000</v>
      </c>
      <c r="AA41" s="34" t="s">
        <v>83</v>
      </c>
      <c r="AB41" s="116" t="s">
        <v>546</v>
      </c>
    </row>
    <row r="42" spans="1:30" ht="15" customHeight="1" x14ac:dyDescent="0.35">
      <c r="A42" s="264"/>
      <c r="B42" s="272"/>
      <c r="C42" s="272"/>
      <c r="D42" s="25" t="s">
        <v>17</v>
      </c>
      <c r="E42" s="50" t="s">
        <v>34</v>
      </c>
      <c r="F42" s="55" t="s">
        <v>36</v>
      </c>
      <c r="G42" s="27" t="s">
        <v>55</v>
      </c>
      <c r="H42" s="27">
        <v>2</v>
      </c>
      <c r="I42" s="45">
        <v>3750</v>
      </c>
      <c r="J42" s="45">
        <v>7500</v>
      </c>
      <c r="K42" s="45">
        <v>0</v>
      </c>
      <c r="L42" s="45"/>
      <c r="M42" s="45"/>
      <c r="N42" s="45"/>
      <c r="O42" s="45">
        <v>0</v>
      </c>
      <c r="P42" s="118">
        <v>7500</v>
      </c>
      <c r="Q42" s="115">
        <v>0</v>
      </c>
      <c r="R42" s="32">
        <f t="shared" si="0"/>
        <v>0</v>
      </c>
      <c r="S42" s="56">
        <f t="shared" si="17"/>
        <v>7500</v>
      </c>
      <c r="T42" s="56"/>
      <c r="U42" s="32">
        <f t="shared" si="1"/>
        <v>7500</v>
      </c>
      <c r="V42" s="32">
        <v>48000</v>
      </c>
      <c r="W42" s="115"/>
      <c r="X42" s="56"/>
      <c r="Y42" s="56"/>
      <c r="Z42" s="32">
        <f t="shared" si="18"/>
        <v>7500</v>
      </c>
      <c r="AA42" s="34" t="s">
        <v>84</v>
      </c>
      <c r="AB42" s="116" t="s">
        <v>547</v>
      </c>
    </row>
    <row r="43" spans="1:30" ht="15" customHeight="1" x14ac:dyDescent="0.35">
      <c r="A43" s="264"/>
      <c r="B43" s="272"/>
      <c r="C43" s="272"/>
      <c r="D43" s="25" t="s">
        <v>17</v>
      </c>
      <c r="E43" s="50" t="s">
        <v>34</v>
      </c>
      <c r="F43" s="55" t="s">
        <v>61</v>
      </c>
      <c r="G43" s="27" t="s">
        <v>62</v>
      </c>
      <c r="H43" s="27">
        <v>1</v>
      </c>
      <c r="I43" s="45">
        <v>3000</v>
      </c>
      <c r="J43" s="45">
        <v>3000</v>
      </c>
      <c r="K43" s="45">
        <v>0</v>
      </c>
      <c r="L43" s="45"/>
      <c r="M43" s="45"/>
      <c r="N43" s="45">
        <v>210.98</v>
      </c>
      <c r="O43" s="45">
        <v>1543.17</v>
      </c>
      <c r="P43" s="118">
        <v>1245.8499999999999</v>
      </c>
      <c r="Q43" s="115">
        <v>0</v>
      </c>
      <c r="R43" s="32">
        <f t="shared" si="0"/>
        <v>1754.15</v>
      </c>
      <c r="S43" s="56">
        <f t="shared" si="17"/>
        <v>-508.30000000000018</v>
      </c>
      <c r="T43" s="56"/>
      <c r="U43" s="32">
        <f t="shared" si="1"/>
        <v>1245.8499999999999</v>
      </c>
      <c r="V43" s="32">
        <v>15000</v>
      </c>
      <c r="W43" s="115"/>
      <c r="X43" s="56"/>
      <c r="Y43" s="56"/>
      <c r="Z43" s="32">
        <f t="shared" si="18"/>
        <v>1245.8499999999999</v>
      </c>
      <c r="AA43" s="34" t="s">
        <v>85</v>
      </c>
      <c r="AB43" s="124"/>
    </row>
    <row r="44" spans="1:30" ht="15" customHeight="1" x14ac:dyDescent="0.35">
      <c r="A44" s="264"/>
      <c r="B44" s="272"/>
      <c r="C44" s="272"/>
      <c r="D44" s="25" t="s">
        <v>17</v>
      </c>
      <c r="E44" s="50" t="s">
        <v>34</v>
      </c>
      <c r="F44" s="55" t="s">
        <v>61</v>
      </c>
      <c r="G44" s="27" t="s">
        <v>86</v>
      </c>
      <c r="H44" s="27">
        <v>1</v>
      </c>
      <c r="I44" s="45">
        <v>24800</v>
      </c>
      <c r="J44" s="45">
        <v>24800</v>
      </c>
      <c r="K44" s="45">
        <v>0</v>
      </c>
      <c r="L44" s="45"/>
      <c r="M44" s="45"/>
      <c r="N44" s="45"/>
      <c r="O44" s="45">
        <v>0</v>
      </c>
      <c r="P44" s="118">
        <v>24800</v>
      </c>
      <c r="Q44" s="115">
        <v>1518.15</v>
      </c>
      <c r="R44" s="32">
        <f t="shared" si="0"/>
        <v>1518.15</v>
      </c>
      <c r="S44" s="56">
        <f t="shared" si="17"/>
        <v>23281.85</v>
      </c>
      <c r="T44" s="56"/>
      <c r="U44" s="32">
        <f t="shared" si="1"/>
        <v>23281.85</v>
      </c>
      <c r="V44" s="32">
        <v>60000</v>
      </c>
      <c r="W44" s="115"/>
      <c r="X44" s="56"/>
      <c r="Y44" s="56"/>
      <c r="Z44" s="32">
        <f t="shared" si="18"/>
        <v>23281.85</v>
      </c>
      <c r="AA44" s="34" t="s">
        <v>87</v>
      </c>
      <c r="AB44" s="233" t="s">
        <v>548</v>
      </c>
    </row>
    <row r="45" spans="1:30" ht="15" customHeight="1" x14ac:dyDescent="0.35">
      <c r="A45" s="264"/>
      <c r="B45" s="272"/>
      <c r="C45" s="272"/>
      <c r="D45" s="25" t="s">
        <v>17</v>
      </c>
      <c r="E45" s="50" t="s">
        <v>34</v>
      </c>
      <c r="F45" s="55" t="s">
        <v>61</v>
      </c>
      <c r="G45" s="27" t="s">
        <v>86</v>
      </c>
      <c r="H45" s="27">
        <v>1</v>
      </c>
      <c r="I45" s="45">
        <v>44615</v>
      </c>
      <c r="J45" s="45">
        <v>44615</v>
      </c>
      <c r="K45" s="45">
        <v>0</v>
      </c>
      <c r="L45" s="45"/>
      <c r="M45" s="45"/>
      <c r="N45" s="45"/>
      <c r="O45" s="45">
        <v>0</v>
      </c>
      <c r="P45" s="118">
        <v>44615</v>
      </c>
      <c r="Q45" s="115">
        <v>0</v>
      </c>
      <c r="R45" s="32">
        <f t="shared" si="0"/>
        <v>0</v>
      </c>
      <c r="S45" s="56">
        <f t="shared" si="17"/>
        <v>44615</v>
      </c>
      <c r="T45" s="56"/>
      <c r="U45" s="32">
        <f t="shared" si="1"/>
        <v>44615</v>
      </c>
      <c r="V45" s="32">
        <v>0</v>
      </c>
      <c r="W45" s="115"/>
      <c r="X45" s="56"/>
      <c r="Y45" s="56"/>
      <c r="Z45" s="32">
        <f t="shared" si="18"/>
        <v>44615</v>
      </c>
      <c r="AA45" s="34" t="s">
        <v>88</v>
      </c>
      <c r="AB45" s="233" t="s">
        <v>548</v>
      </c>
      <c r="AD45" t="s">
        <v>1077</v>
      </c>
    </row>
    <row r="46" spans="1:30" ht="15" customHeight="1" x14ac:dyDescent="0.35">
      <c r="A46" s="264"/>
      <c r="B46" s="272"/>
      <c r="C46" s="272"/>
      <c r="D46" s="25" t="s">
        <v>17</v>
      </c>
      <c r="E46" s="50" t="s">
        <v>34</v>
      </c>
      <c r="F46" s="55" t="s">
        <v>57</v>
      </c>
      <c r="G46" s="27" t="s">
        <v>58</v>
      </c>
      <c r="H46" s="27">
        <v>80</v>
      </c>
      <c r="I46" s="45">
        <v>600</v>
      </c>
      <c r="J46" s="45">
        <v>48000</v>
      </c>
      <c r="K46" s="45">
        <v>0</v>
      </c>
      <c r="L46" s="45"/>
      <c r="M46" s="45"/>
      <c r="N46" s="45"/>
      <c r="O46" s="45">
        <v>0</v>
      </c>
      <c r="P46" s="118">
        <v>48000</v>
      </c>
      <c r="Q46" s="115">
        <v>0</v>
      </c>
      <c r="R46" s="32">
        <f t="shared" si="0"/>
        <v>0</v>
      </c>
      <c r="S46" s="56">
        <f t="shared" si="17"/>
        <v>48000</v>
      </c>
      <c r="T46" s="56"/>
      <c r="U46" s="32">
        <f t="shared" si="1"/>
        <v>48000</v>
      </c>
      <c r="V46" s="32">
        <v>2000</v>
      </c>
      <c r="W46" s="115"/>
      <c r="X46" s="56">
        <v>18700</v>
      </c>
      <c r="Y46" s="56"/>
      <c r="Z46" s="32">
        <f t="shared" si="18"/>
        <v>29300</v>
      </c>
      <c r="AA46" s="34" t="s">
        <v>89</v>
      </c>
      <c r="AB46" s="124" t="s">
        <v>1076</v>
      </c>
      <c r="AC46" s="232" t="s">
        <v>1078</v>
      </c>
      <c r="AD46" s="231" t="e">
        <f>U46-AC46</f>
        <v>#VALUE!</v>
      </c>
    </row>
    <row r="47" spans="1:30" ht="15" customHeight="1" x14ac:dyDescent="0.35">
      <c r="A47" s="264"/>
      <c r="B47" s="272"/>
      <c r="C47" s="272"/>
      <c r="D47" s="25" t="s">
        <v>17</v>
      </c>
      <c r="E47" s="50" t="s">
        <v>34</v>
      </c>
      <c r="F47" s="55" t="s">
        <v>36</v>
      </c>
      <c r="G47" s="27" t="s">
        <v>55</v>
      </c>
      <c r="H47" s="27">
        <v>4</v>
      </c>
      <c r="I47" s="45">
        <v>3750</v>
      </c>
      <c r="J47" s="45">
        <v>15000</v>
      </c>
      <c r="K47" s="45">
        <v>0</v>
      </c>
      <c r="L47" s="45"/>
      <c r="M47" s="45"/>
      <c r="N47" s="45"/>
      <c r="O47" s="45">
        <v>0</v>
      </c>
      <c r="P47" s="118">
        <v>15000</v>
      </c>
      <c r="Q47" s="115">
        <v>0</v>
      </c>
      <c r="R47" s="32">
        <f t="shared" si="0"/>
        <v>0</v>
      </c>
      <c r="S47" s="56">
        <f t="shared" si="17"/>
        <v>15000</v>
      </c>
      <c r="T47" s="56"/>
      <c r="U47" s="32">
        <f t="shared" si="1"/>
        <v>15000</v>
      </c>
      <c r="V47" s="32">
        <v>0</v>
      </c>
      <c r="W47" s="115"/>
      <c r="X47" s="56">
        <v>15000</v>
      </c>
      <c r="Y47" s="56"/>
      <c r="Z47" s="32">
        <f t="shared" si="18"/>
        <v>0</v>
      </c>
      <c r="AA47" s="34" t="s">
        <v>90</v>
      </c>
      <c r="AB47" s="124" t="s">
        <v>549</v>
      </c>
      <c r="AC47" s="232" t="s">
        <v>1079</v>
      </c>
    </row>
    <row r="48" spans="1:30" ht="15" customHeight="1" x14ac:dyDescent="0.35">
      <c r="A48" s="264"/>
      <c r="B48" s="272"/>
      <c r="C48" s="272"/>
      <c r="D48" s="25" t="s">
        <v>17</v>
      </c>
      <c r="E48" s="50" t="s">
        <v>34</v>
      </c>
      <c r="F48" s="55" t="s">
        <v>57</v>
      </c>
      <c r="G48" s="27" t="s">
        <v>58</v>
      </c>
      <c r="H48" s="27">
        <v>15</v>
      </c>
      <c r="I48" s="45">
        <v>500</v>
      </c>
      <c r="J48" s="45">
        <v>7500</v>
      </c>
      <c r="K48" s="45">
        <v>0</v>
      </c>
      <c r="L48" s="45"/>
      <c r="M48" s="45"/>
      <c r="N48" s="45"/>
      <c r="O48" s="45">
        <v>0</v>
      </c>
      <c r="P48" s="118">
        <v>7500</v>
      </c>
      <c r="Q48" s="115">
        <v>0</v>
      </c>
      <c r="R48" s="32">
        <f t="shared" si="0"/>
        <v>0</v>
      </c>
      <c r="S48" s="56">
        <f t="shared" si="17"/>
        <v>7500</v>
      </c>
      <c r="T48" s="56"/>
      <c r="U48" s="32">
        <f t="shared" si="1"/>
        <v>7500</v>
      </c>
      <c r="V48" s="32">
        <v>0</v>
      </c>
      <c r="W48" s="115"/>
      <c r="X48" s="56"/>
      <c r="Y48" s="56"/>
      <c r="Z48" s="32">
        <f t="shared" si="18"/>
        <v>7500</v>
      </c>
      <c r="AA48" s="34" t="s">
        <v>91</v>
      </c>
      <c r="AB48" s="124" t="s">
        <v>550</v>
      </c>
    </row>
    <row r="49" spans="1:28" ht="15" customHeight="1" x14ac:dyDescent="0.35">
      <c r="A49" s="264"/>
      <c r="B49" s="272"/>
      <c r="C49" s="272"/>
      <c r="D49" s="25" t="s">
        <v>17</v>
      </c>
      <c r="E49" s="50" t="s">
        <v>34</v>
      </c>
      <c r="F49" s="55" t="s">
        <v>36</v>
      </c>
      <c r="G49" s="27" t="s">
        <v>55</v>
      </c>
      <c r="H49" s="27">
        <v>1</v>
      </c>
      <c r="I49" s="45">
        <v>5000</v>
      </c>
      <c r="J49" s="45">
        <v>5000</v>
      </c>
      <c r="K49" s="45">
        <v>0</v>
      </c>
      <c r="L49" s="45"/>
      <c r="M49" s="45"/>
      <c r="N49" s="45"/>
      <c r="O49" s="45">
        <v>0</v>
      </c>
      <c r="P49" s="118">
        <v>5000</v>
      </c>
      <c r="Q49" s="115">
        <v>0</v>
      </c>
      <c r="R49" s="32">
        <f t="shared" si="0"/>
        <v>0</v>
      </c>
      <c r="S49" s="56">
        <f t="shared" si="17"/>
        <v>5000</v>
      </c>
      <c r="T49" s="56"/>
      <c r="U49" s="32">
        <f t="shared" si="1"/>
        <v>5000</v>
      </c>
      <c r="V49" s="32">
        <v>0</v>
      </c>
      <c r="W49" s="115"/>
      <c r="X49" s="56">
        <v>5000</v>
      </c>
      <c r="Y49" s="56"/>
      <c r="Z49" s="32">
        <f t="shared" si="18"/>
        <v>0</v>
      </c>
      <c r="AA49" s="34" t="s">
        <v>92</v>
      </c>
      <c r="AB49" s="124" t="s">
        <v>1082</v>
      </c>
    </row>
    <row r="50" spans="1:28" ht="15" customHeight="1" x14ac:dyDescent="0.35">
      <c r="A50" s="264"/>
      <c r="B50" s="272"/>
      <c r="C50" s="272"/>
      <c r="D50" s="25" t="s">
        <v>17</v>
      </c>
      <c r="E50" s="50" t="s">
        <v>34</v>
      </c>
      <c r="F50" s="55" t="s">
        <v>66</v>
      </c>
      <c r="G50" s="27" t="s">
        <v>62</v>
      </c>
      <c r="H50" s="27">
        <v>4</v>
      </c>
      <c r="I50" s="45">
        <v>1000</v>
      </c>
      <c r="J50" s="45">
        <v>4000</v>
      </c>
      <c r="K50" s="45">
        <v>0</v>
      </c>
      <c r="L50" s="45"/>
      <c r="M50" s="45"/>
      <c r="N50" s="45"/>
      <c r="O50" s="45">
        <v>0</v>
      </c>
      <c r="P50" s="118">
        <v>4000</v>
      </c>
      <c r="Q50" s="115">
        <v>0</v>
      </c>
      <c r="R50" s="32">
        <f t="shared" si="0"/>
        <v>0</v>
      </c>
      <c r="S50" s="56">
        <f t="shared" si="17"/>
        <v>4000</v>
      </c>
      <c r="T50" s="56"/>
      <c r="U50" s="32">
        <f t="shared" si="1"/>
        <v>4000</v>
      </c>
      <c r="V50" s="32">
        <v>36000</v>
      </c>
      <c r="W50" s="115"/>
      <c r="X50" s="56"/>
      <c r="Y50" s="56"/>
      <c r="Z50" s="32">
        <f t="shared" si="18"/>
        <v>4000</v>
      </c>
      <c r="AA50" s="34" t="s">
        <v>93</v>
      </c>
      <c r="AB50" s="233" t="s">
        <v>1080</v>
      </c>
    </row>
    <row r="51" spans="1:28" ht="15" customHeight="1" x14ac:dyDescent="0.35">
      <c r="A51" s="264"/>
      <c r="B51" s="272"/>
      <c r="C51" s="272"/>
      <c r="D51" s="25" t="s">
        <v>33</v>
      </c>
      <c r="E51" s="50" t="s">
        <v>34</v>
      </c>
      <c r="F51" s="55" t="s">
        <v>53</v>
      </c>
      <c r="G51" s="27" t="s">
        <v>86</v>
      </c>
      <c r="H51" s="27">
        <v>4</v>
      </c>
      <c r="I51" s="45">
        <v>6000</v>
      </c>
      <c r="J51" s="45">
        <v>0</v>
      </c>
      <c r="K51" s="45">
        <v>24000</v>
      </c>
      <c r="L51" s="45"/>
      <c r="M51" s="45"/>
      <c r="N51" s="45"/>
      <c r="O51" s="45">
        <v>0</v>
      </c>
      <c r="P51" s="118">
        <v>0</v>
      </c>
      <c r="Q51" s="115">
        <v>0</v>
      </c>
      <c r="R51" s="32">
        <f t="shared" si="0"/>
        <v>0</v>
      </c>
      <c r="S51" s="56">
        <f t="shared" si="17"/>
        <v>0</v>
      </c>
      <c r="T51" s="56"/>
      <c r="U51" s="32">
        <f t="shared" si="1"/>
        <v>0</v>
      </c>
      <c r="V51" s="32"/>
      <c r="W51" s="115">
        <v>0</v>
      </c>
      <c r="X51" s="56"/>
      <c r="Y51" s="56"/>
      <c r="Z51" s="32">
        <f t="shared" si="18"/>
        <v>0</v>
      </c>
      <c r="AA51" s="34" t="s">
        <v>94</v>
      </c>
      <c r="AB51" s="233" t="s">
        <v>1081</v>
      </c>
    </row>
    <row r="52" spans="1:28" ht="15" customHeight="1" x14ac:dyDescent="0.35">
      <c r="A52" s="264"/>
      <c r="B52" s="272"/>
      <c r="C52" s="39"/>
      <c r="D52" s="39"/>
      <c r="E52" s="53"/>
      <c r="F52" s="57"/>
      <c r="G52" s="41"/>
      <c r="H52" s="41"/>
      <c r="I52" s="54"/>
      <c r="J52" s="54">
        <f>SUM(J39:J51)</f>
        <v>367549</v>
      </c>
      <c r="K52" s="54">
        <f t="shared" ref="K52:L52" si="19">SUM(K39:K51)</f>
        <v>24000</v>
      </c>
      <c r="L52" s="54">
        <f t="shared" si="19"/>
        <v>0</v>
      </c>
      <c r="M52" s="54">
        <v>0</v>
      </c>
      <c r="N52" s="54">
        <v>210.98</v>
      </c>
      <c r="O52" s="54">
        <v>2132.4499999999998</v>
      </c>
      <c r="P52" s="54">
        <f>SUM(P39:P51)</f>
        <v>365205.57</v>
      </c>
      <c r="Q52" s="54">
        <f t="shared" ref="Q52:Y52" si="20">SUM(Q39:Q51)</f>
        <v>1518.15</v>
      </c>
      <c r="R52" s="54">
        <f t="shared" si="20"/>
        <v>3861.5800000000004</v>
      </c>
      <c r="S52" s="54">
        <f t="shared" si="20"/>
        <v>361343.99</v>
      </c>
      <c r="T52" s="54">
        <f t="shared" si="20"/>
        <v>0</v>
      </c>
      <c r="U52" s="54">
        <f t="shared" si="20"/>
        <v>363687.42000000004</v>
      </c>
      <c r="V52" s="54">
        <f t="shared" si="20"/>
        <v>161000</v>
      </c>
      <c r="W52" s="54">
        <f t="shared" si="20"/>
        <v>0</v>
      </c>
      <c r="X52" s="54">
        <f t="shared" si="20"/>
        <v>73609.8</v>
      </c>
      <c r="Y52" s="54">
        <f t="shared" si="20"/>
        <v>78000</v>
      </c>
      <c r="Z52" s="54">
        <f>SUM(Z39:Z51)</f>
        <v>212077.62</v>
      </c>
      <c r="AA52" s="49"/>
      <c r="AB52" s="125" t="s">
        <v>2</v>
      </c>
    </row>
    <row r="53" spans="1:28" ht="15" customHeight="1" x14ac:dyDescent="0.35">
      <c r="A53" s="264"/>
      <c r="B53" s="272"/>
      <c r="C53" s="272" t="s">
        <v>95</v>
      </c>
      <c r="D53" s="25" t="s">
        <v>17</v>
      </c>
      <c r="E53" s="25" t="s">
        <v>27</v>
      </c>
      <c r="F53" s="55" t="s">
        <v>28</v>
      </c>
      <c r="G53" s="27" t="s">
        <v>29</v>
      </c>
      <c r="H53" s="27">
        <v>6</v>
      </c>
      <c r="I53" s="45">
        <v>3916.6666660000001</v>
      </c>
      <c r="J53" s="45">
        <v>23499.999995999999</v>
      </c>
      <c r="K53" s="45">
        <v>0</v>
      </c>
      <c r="L53" s="45"/>
      <c r="M53" s="45">
        <v>9593</v>
      </c>
      <c r="N53" s="45"/>
      <c r="O53" s="45"/>
      <c r="P53" s="118">
        <v>13906.999995999999</v>
      </c>
      <c r="Q53" s="126">
        <v>13907</v>
      </c>
      <c r="R53" s="32">
        <f t="shared" si="0"/>
        <v>23500</v>
      </c>
      <c r="S53" s="60">
        <f t="shared" ref="S53:S59" si="21">P53-R53</f>
        <v>-9593.0000040000014</v>
      </c>
      <c r="T53" s="60"/>
      <c r="U53" s="32">
        <f t="shared" si="1"/>
        <v>-4.0000013541430235E-6</v>
      </c>
      <c r="V53" s="32"/>
      <c r="W53" s="126">
        <v>0</v>
      </c>
      <c r="X53" s="60"/>
      <c r="Y53" s="60"/>
      <c r="Z53" s="32">
        <f t="shared" ref="Z53:Z59" si="22">U53-(W53+X53+Y53)</f>
        <v>-4.0000013541430235E-6</v>
      </c>
      <c r="AA53" s="34" t="s">
        <v>96</v>
      </c>
      <c r="AB53" s="127"/>
    </row>
    <row r="54" spans="1:28" ht="15" customHeight="1" x14ac:dyDescent="0.35">
      <c r="A54" s="264"/>
      <c r="B54" s="272"/>
      <c r="C54" s="272"/>
      <c r="D54" s="25" t="s">
        <v>31</v>
      </c>
      <c r="E54" s="25" t="s">
        <v>27</v>
      </c>
      <c r="F54" s="55" t="s">
        <v>28</v>
      </c>
      <c r="G54" s="27" t="s">
        <v>29</v>
      </c>
      <c r="H54" s="27">
        <v>6</v>
      </c>
      <c r="I54" s="45">
        <v>1800</v>
      </c>
      <c r="J54" s="45">
        <v>0</v>
      </c>
      <c r="K54" s="45">
        <v>6800</v>
      </c>
      <c r="L54" s="45"/>
      <c r="M54" s="45"/>
      <c r="N54" s="45"/>
      <c r="O54" s="45"/>
      <c r="P54" s="118">
        <v>0</v>
      </c>
      <c r="Q54" s="126">
        <v>0</v>
      </c>
      <c r="R54" s="32">
        <f t="shared" si="0"/>
        <v>0</v>
      </c>
      <c r="S54" s="60">
        <f t="shared" si="21"/>
        <v>0</v>
      </c>
      <c r="T54" s="60"/>
      <c r="U54" s="32">
        <f t="shared" si="1"/>
        <v>0</v>
      </c>
      <c r="V54" s="32"/>
      <c r="W54" s="126">
        <v>0</v>
      </c>
      <c r="X54" s="60"/>
      <c r="Y54" s="60"/>
      <c r="Z54" s="32">
        <f t="shared" si="22"/>
        <v>0</v>
      </c>
      <c r="AA54" s="34" t="s">
        <v>97</v>
      </c>
      <c r="AB54" s="127"/>
    </row>
    <row r="55" spans="1:28" ht="15" customHeight="1" x14ac:dyDescent="0.35">
      <c r="A55" s="264"/>
      <c r="B55" s="272"/>
      <c r="C55" s="272"/>
      <c r="D55" s="25" t="s">
        <v>17</v>
      </c>
      <c r="E55" s="25" t="s">
        <v>27</v>
      </c>
      <c r="F55" s="55" t="s">
        <v>28</v>
      </c>
      <c r="G55" s="27" t="s">
        <v>29</v>
      </c>
      <c r="H55" s="27">
        <v>24</v>
      </c>
      <c r="I55" s="45">
        <v>5000</v>
      </c>
      <c r="J55" s="45">
        <v>120000</v>
      </c>
      <c r="K55" s="45">
        <v>0</v>
      </c>
      <c r="L55" s="45"/>
      <c r="M55" s="45"/>
      <c r="N55" s="45"/>
      <c r="O55" s="45"/>
      <c r="P55" s="118">
        <v>120000</v>
      </c>
      <c r="Q55" s="126">
        <v>84000</v>
      </c>
      <c r="R55" s="32">
        <f t="shared" si="0"/>
        <v>84000</v>
      </c>
      <c r="S55" s="60">
        <f t="shared" si="21"/>
        <v>36000</v>
      </c>
      <c r="T55" s="60"/>
      <c r="U55" s="32">
        <f t="shared" si="1"/>
        <v>36000</v>
      </c>
      <c r="V55" s="32"/>
      <c r="W55" s="126">
        <v>36000</v>
      </c>
      <c r="X55" s="60">
        <v>60000</v>
      </c>
      <c r="Y55" s="60">
        <v>60000</v>
      </c>
      <c r="Z55" s="32">
        <f t="shared" si="22"/>
        <v>-120000</v>
      </c>
      <c r="AA55" s="34" t="s">
        <v>98</v>
      </c>
      <c r="AB55" s="234" t="s">
        <v>1073</v>
      </c>
    </row>
    <row r="56" spans="1:28" ht="15" customHeight="1" x14ac:dyDescent="0.35">
      <c r="A56" s="264"/>
      <c r="B56" s="272"/>
      <c r="C56" s="272"/>
      <c r="D56" s="25" t="s">
        <v>31</v>
      </c>
      <c r="E56" s="25" t="s">
        <v>27</v>
      </c>
      <c r="F56" s="55" t="s">
        <v>28</v>
      </c>
      <c r="G56" s="27" t="s">
        <v>29</v>
      </c>
      <c r="H56" s="27">
        <v>24</v>
      </c>
      <c r="I56" s="45">
        <f>24000/24</f>
        <v>1000</v>
      </c>
      <c r="J56" s="45">
        <v>0</v>
      </c>
      <c r="K56" s="45">
        <v>24000</v>
      </c>
      <c r="L56" s="45"/>
      <c r="M56" s="45"/>
      <c r="N56" s="45"/>
      <c r="O56" s="45"/>
      <c r="P56" s="118">
        <v>0</v>
      </c>
      <c r="Q56" s="126">
        <v>0</v>
      </c>
      <c r="R56" s="32">
        <f t="shared" si="0"/>
        <v>0</v>
      </c>
      <c r="S56" s="60">
        <f t="shared" si="21"/>
        <v>0</v>
      </c>
      <c r="T56" s="60"/>
      <c r="U56" s="32">
        <f t="shared" si="1"/>
        <v>0</v>
      </c>
      <c r="V56" s="32"/>
      <c r="W56" s="126">
        <v>0</v>
      </c>
      <c r="X56" s="60"/>
      <c r="Y56" s="60"/>
      <c r="Z56" s="32">
        <f t="shared" si="22"/>
        <v>0</v>
      </c>
      <c r="AA56" s="34" t="s">
        <v>99</v>
      </c>
      <c r="AB56" s="127"/>
    </row>
    <row r="57" spans="1:28" ht="15" customHeight="1" x14ac:dyDescent="0.35">
      <c r="A57" s="264"/>
      <c r="B57" s="272"/>
      <c r="C57" s="272"/>
      <c r="D57" s="25" t="s">
        <v>17</v>
      </c>
      <c r="E57" s="25" t="s">
        <v>27</v>
      </c>
      <c r="F57" s="55" t="s">
        <v>36</v>
      </c>
      <c r="G57" s="27" t="s">
        <v>55</v>
      </c>
      <c r="H57" s="27">
        <v>3</v>
      </c>
      <c r="I57" s="45">
        <v>3500</v>
      </c>
      <c r="J57" s="45">
        <v>10500</v>
      </c>
      <c r="K57" s="45">
        <v>0</v>
      </c>
      <c r="L57" s="45">
        <v>0</v>
      </c>
      <c r="M57" s="45">
        <v>2844</v>
      </c>
      <c r="N57" s="45"/>
      <c r="O57" s="45"/>
      <c r="P57" s="118">
        <v>7656</v>
      </c>
      <c r="Q57" s="126">
        <v>7656</v>
      </c>
      <c r="R57" s="32">
        <f t="shared" si="0"/>
        <v>10500</v>
      </c>
      <c r="S57" s="60">
        <f t="shared" si="21"/>
        <v>-2844</v>
      </c>
      <c r="T57" s="60"/>
      <c r="U57" s="32">
        <f t="shared" si="1"/>
        <v>0</v>
      </c>
      <c r="V57" s="32"/>
      <c r="W57" s="126">
        <v>0</v>
      </c>
      <c r="X57" s="60">
        <v>4000</v>
      </c>
      <c r="Y57" s="60">
        <f>3656</f>
        <v>3656</v>
      </c>
      <c r="Z57" s="32">
        <f t="shared" si="22"/>
        <v>-7656</v>
      </c>
      <c r="AA57" s="34" t="s">
        <v>100</v>
      </c>
      <c r="AB57" s="234" t="s">
        <v>1073</v>
      </c>
    </row>
    <row r="58" spans="1:28" ht="15" customHeight="1" x14ac:dyDescent="0.35">
      <c r="A58" s="264"/>
      <c r="B58" s="272"/>
      <c r="C58" s="272"/>
      <c r="D58" s="25" t="s">
        <v>33</v>
      </c>
      <c r="E58" s="25" t="s">
        <v>34</v>
      </c>
      <c r="F58" s="55" t="s">
        <v>28</v>
      </c>
      <c r="G58" s="27" t="s">
        <v>29</v>
      </c>
      <c r="H58" s="27">
        <v>6</v>
      </c>
      <c r="I58" s="45">
        <f>4000/6</f>
        <v>666.66666666666663</v>
      </c>
      <c r="J58" s="45">
        <v>0</v>
      </c>
      <c r="K58" s="45">
        <v>4000</v>
      </c>
      <c r="L58" s="45"/>
      <c r="M58" s="45"/>
      <c r="N58" s="45"/>
      <c r="O58" s="45"/>
      <c r="P58" s="118">
        <v>0</v>
      </c>
      <c r="Q58" s="126">
        <v>0</v>
      </c>
      <c r="R58" s="32">
        <f t="shared" si="0"/>
        <v>0</v>
      </c>
      <c r="S58" s="60">
        <f t="shared" si="21"/>
        <v>0</v>
      </c>
      <c r="T58" s="60"/>
      <c r="U58" s="32">
        <f t="shared" si="1"/>
        <v>0</v>
      </c>
      <c r="V58" s="32"/>
      <c r="W58" s="126">
        <v>0</v>
      </c>
      <c r="X58" s="60"/>
      <c r="Y58" s="60"/>
      <c r="Z58" s="32">
        <f t="shared" si="22"/>
        <v>0</v>
      </c>
      <c r="AA58" s="34" t="s">
        <v>101</v>
      </c>
      <c r="AB58" s="127"/>
    </row>
    <row r="59" spans="1:28" ht="15" customHeight="1" x14ac:dyDescent="0.35">
      <c r="A59" s="264"/>
      <c r="B59" s="272"/>
      <c r="C59" s="272"/>
      <c r="D59" s="25" t="s">
        <v>33</v>
      </c>
      <c r="E59" s="25" t="s">
        <v>34</v>
      </c>
      <c r="F59" s="55" t="s">
        <v>53</v>
      </c>
      <c r="G59" s="27" t="s">
        <v>62</v>
      </c>
      <c r="H59" s="27">
        <v>1</v>
      </c>
      <c r="I59" s="45">
        <v>8000</v>
      </c>
      <c r="J59" s="45">
        <v>0</v>
      </c>
      <c r="K59" s="45">
        <v>8000</v>
      </c>
      <c r="L59" s="45"/>
      <c r="M59" s="45"/>
      <c r="N59" s="45"/>
      <c r="O59" s="45"/>
      <c r="P59" s="118">
        <v>0</v>
      </c>
      <c r="Q59" s="126">
        <v>0</v>
      </c>
      <c r="R59" s="32">
        <f t="shared" si="0"/>
        <v>0</v>
      </c>
      <c r="S59" s="60">
        <f t="shared" si="21"/>
        <v>0</v>
      </c>
      <c r="T59" s="60"/>
      <c r="U59" s="32">
        <f t="shared" si="1"/>
        <v>0</v>
      </c>
      <c r="V59" s="32"/>
      <c r="W59" s="126">
        <v>0</v>
      </c>
      <c r="X59" s="60"/>
      <c r="Y59" s="60"/>
      <c r="Z59" s="32">
        <f t="shared" si="22"/>
        <v>0</v>
      </c>
      <c r="AA59" s="34" t="s">
        <v>102</v>
      </c>
      <c r="AB59" s="127"/>
    </row>
    <row r="60" spans="1:28" ht="15" customHeight="1" x14ac:dyDescent="0.35">
      <c r="A60" s="264"/>
      <c r="B60" s="272"/>
      <c r="C60" s="39"/>
      <c r="D60" s="39"/>
      <c r="E60" s="39"/>
      <c r="F60" s="57"/>
      <c r="G60" s="41"/>
      <c r="H60" s="41"/>
      <c r="I60" s="54"/>
      <c r="J60" s="54">
        <f>SUM(J53:J59)</f>
        <v>153999.999996</v>
      </c>
      <c r="K60" s="54">
        <f t="shared" ref="K60:L60" si="23">SUM(K53:K59)</f>
        <v>42800</v>
      </c>
      <c r="L60" s="54">
        <f t="shared" si="23"/>
        <v>0</v>
      </c>
      <c r="M60" s="54">
        <v>12437</v>
      </c>
      <c r="N60" s="54">
        <v>0</v>
      </c>
      <c r="O60" s="54">
        <v>0</v>
      </c>
      <c r="P60" s="54">
        <f>SUM(P53:P59)</f>
        <v>141562.999996</v>
      </c>
      <c r="Q60" s="54">
        <f t="shared" ref="Q60:Z60" si="24">SUM(Q53:Q59)</f>
        <v>105563</v>
      </c>
      <c r="R60" s="54">
        <f t="shared" si="24"/>
        <v>118000</v>
      </c>
      <c r="S60" s="54">
        <f t="shared" si="24"/>
        <v>23562.999995999999</v>
      </c>
      <c r="T60" s="54">
        <f t="shared" si="24"/>
        <v>0</v>
      </c>
      <c r="U60" s="54">
        <f t="shared" si="24"/>
        <v>35999.999995999999</v>
      </c>
      <c r="V60" s="54">
        <f t="shared" si="24"/>
        <v>0</v>
      </c>
      <c r="W60" s="54">
        <f t="shared" si="24"/>
        <v>36000</v>
      </c>
      <c r="X60" s="54">
        <f t="shared" si="24"/>
        <v>64000</v>
      </c>
      <c r="Y60" s="54">
        <f t="shared" si="24"/>
        <v>63656</v>
      </c>
      <c r="Z60" s="54">
        <f t="shared" si="24"/>
        <v>-127656.000004</v>
      </c>
      <c r="AA60" s="49"/>
      <c r="AB60" s="128"/>
    </row>
    <row r="61" spans="1:28" ht="15" customHeight="1" x14ac:dyDescent="0.35">
      <c r="A61" s="264"/>
      <c r="B61" s="272"/>
      <c r="C61" s="272" t="s">
        <v>103</v>
      </c>
      <c r="D61" s="25" t="s">
        <v>17</v>
      </c>
      <c r="E61" s="25" t="s">
        <v>104</v>
      </c>
      <c r="F61" s="55" t="s">
        <v>28</v>
      </c>
      <c r="G61" s="27" t="s">
        <v>29</v>
      </c>
      <c r="H61" s="27">
        <v>6</v>
      </c>
      <c r="I61" s="45">
        <v>2916.6666</v>
      </c>
      <c r="J61" s="45">
        <v>99249.999599999996</v>
      </c>
      <c r="K61" s="45">
        <v>0</v>
      </c>
      <c r="L61" s="45">
        <v>0</v>
      </c>
      <c r="M61" s="45">
        <v>6029.78</v>
      </c>
      <c r="N61" s="45">
        <v>13250.970094363673</v>
      </c>
      <c r="O61" s="45">
        <v>95361.774087991595</v>
      </c>
      <c r="P61" s="118">
        <v>-15392.524582355269</v>
      </c>
      <c r="Q61" s="126">
        <v>0</v>
      </c>
      <c r="R61" s="32">
        <f t="shared" si="0"/>
        <v>114642.52418235526</v>
      </c>
      <c r="S61" s="60">
        <f t="shared" ref="S61:S67" si="25">P61-R61</f>
        <v>-130035.04876471053</v>
      </c>
      <c r="T61" s="60"/>
      <c r="U61" s="32">
        <f t="shared" si="1"/>
        <v>-15392.524582355269</v>
      </c>
      <c r="V61" s="32"/>
      <c r="W61" s="126">
        <v>0</v>
      </c>
      <c r="X61" s="60"/>
      <c r="Y61" s="60"/>
      <c r="Z61" s="32">
        <f t="shared" ref="Z61:Z67" si="26">U61-(W61+X61+Y61)</f>
        <v>-15392.524582355269</v>
      </c>
      <c r="AA61" s="34" t="s">
        <v>105</v>
      </c>
      <c r="AB61" s="127"/>
    </row>
    <row r="62" spans="1:28" ht="15" customHeight="1" x14ac:dyDescent="0.35">
      <c r="A62" s="264"/>
      <c r="B62" s="272"/>
      <c r="C62" s="272"/>
      <c r="D62" s="25" t="s">
        <v>31</v>
      </c>
      <c r="E62" s="25" t="s">
        <v>104</v>
      </c>
      <c r="F62" s="55" t="s">
        <v>28</v>
      </c>
      <c r="G62" s="27" t="s">
        <v>29</v>
      </c>
      <c r="H62" s="27">
        <v>12</v>
      </c>
      <c r="I62" s="45">
        <f>19600/12</f>
        <v>1633.3333333333333</v>
      </c>
      <c r="J62" s="45">
        <v>0</v>
      </c>
      <c r="K62" s="45">
        <v>19600</v>
      </c>
      <c r="L62" s="45">
        <v>0</v>
      </c>
      <c r="M62" s="45"/>
      <c r="N62" s="45"/>
      <c r="O62" s="45">
        <v>0</v>
      </c>
      <c r="P62" s="118">
        <v>0</v>
      </c>
      <c r="Q62" s="126">
        <v>0</v>
      </c>
      <c r="R62" s="32">
        <f t="shared" si="0"/>
        <v>0</v>
      </c>
      <c r="S62" s="60">
        <f t="shared" si="25"/>
        <v>0</v>
      </c>
      <c r="T62" s="60"/>
      <c r="U62" s="32">
        <f t="shared" si="1"/>
        <v>0</v>
      </c>
      <c r="V62" s="32"/>
      <c r="W62" s="126">
        <v>0</v>
      </c>
      <c r="X62" s="60"/>
      <c r="Y62" s="60"/>
      <c r="Z62" s="32">
        <f t="shared" si="26"/>
        <v>0</v>
      </c>
      <c r="AA62" s="34" t="s">
        <v>106</v>
      </c>
      <c r="AB62" s="127"/>
    </row>
    <row r="63" spans="1:28" ht="15" customHeight="1" x14ac:dyDescent="0.35">
      <c r="A63" s="264"/>
      <c r="B63" s="272"/>
      <c r="C63" s="272"/>
      <c r="D63" s="25" t="s">
        <v>17</v>
      </c>
      <c r="E63" s="25" t="s">
        <v>104</v>
      </c>
      <c r="F63" s="55" t="s">
        <v>28</v>
      </c>
      <c r="G63" s="27" t="s">
        <v>29</v>
      </c>
      <c r="H63" s="27">
        <v>12</v>
      </c>
      <c r="I63" s="45">
        <f>150000/12</f>
        <v>12500</v>
      </c>
      <c r="J63" s="45">
        <v>150000</v>
      </c>
      <c r="K63" s="45">
        <v>0</v>
      </c>
      <c r="L63" s="45"/>
      <c r="M63" s="45">
        <v>4610</v>
      </c>
      <c r="N63" s="45">
        <v>312.23196403636399</v>
      </c>
      <c r="O63" s="45">
        <v>2.9488000000000001E-3</v>
      </c>
      <c r="P63" s="118">
        <v>145077.76508716363</v>
      </c>
      <c r="Q63" s="126">
        <v>72540</v>
      </c>
      <c r="R63" s="32">
        <f t="shared" si="0"/>
        <v>77462.234912836371</v>
      </c>
      <c r="S63" s="60">
        <f t="shared" si="25"/>
        <v>67615.530174327258</v>
      </c>
      <c r="T63" s="60"/>
      <c r="U63" s="32">
        <f t="shared" si="1"/>
        <v>72537.765087163629</v>
      </c>
      <c r="V63" s="32"/>
      <c r="W63" s="126">
        <v>57145.25</v>
      </c>
      <c r="X63" s="60"/>
      <c r="Y63" s="60"/>
      <c r="Z63" s="32">
        <f t="shared" si="26"/>
        <v>15392.515087163629</v>
      </c>
      <c r="AA63" s="34" t="s">
        <v>107</v>
      </c>
      <c r="AB63" s="127"/>
    </row>
    <row r="64" spans="1:28" ht="15" customHeight="1" x14ac:dyDescent="0.35">
      <c r="A64" s="264"/>
      <c r="B64" s="272"/>
      <c r="C64" s="272"/>
      <c r="D64" s="25" t="s">
        <v>31</v>
      </c>
      <c r="E64" s="25" t="s">
        <v>104</v>
      </c>
      <c r="F64" s="55" t="s">
        <v>28</v>
      </c>
      <c r="G64" s="27" t="s">
        <v>29</v>
      </c>
      <c r="H64" s="27">
        <v>12</v>
      </c>
      <c r="I64" s="45">
        <f>30000/12</f>
        <v>2500</v>
      </c>
      <c r="J64" s="45">
        <v>0</v>
      </c>
      <c r="K64" s="45">
        <v>30000</v>
      </c>
      <c r="L64" s="45">
        <v>0</v>
      </c>
      <c r="M64" s="45"/>
      <c r="N64" s="45"/>
      <c r="O64" s="45">
        <v>0</v>
      </c>
      <c r="P64" s="118">
        <v>0</v>
      </c>
      <c r="Q64" s="126">
        <v>0</v>
      </c>
      <c r="R64" s="32">
        <f t="shared" si="0"/>
        <v>0</v>
      </c>
      <c r="S64" s="60">
        <f t="shared" si="25"/>
        <v>0</v>
      </c>
      <c r="T64" s="60"/>
      <c r="U64" s="32">
        <f t="shared" si="1"/>
        <v>0</v>
      </c>
      <c r="V64" s="32"/>
      <c r="W64" s="126">
        <v>0</v>
      </c>
      <c r="X64" s="60"/>
      <c r="Y64" s="60"/>
      <c r="Z64" s="32">
        <f t="shared" si="26"/>
        <v>0</v>
      </c>
      <c r="AA64" s="34" t="s">
        <v>108</v>
      </c>
      <c r="AB64" s="127"/>
    </row>
    <row r="65" spans="1:28" ht="15" customHeight="1" x14ac:dyDescent="0.35">
      <c r="A65" s="264"/>
      <c r="B65" s="272"/>
      <c r="C65" s="272"/>
      <c r="D65" s="25" t="s">
        <v>33</v>
      </c>
      <c r="E65" s="25" t="s">
        <v>34</v>
      </c>
      <c r="F65" s="55" t="s">
        <v>28</v>
      </c>
      <c r="G65" s="27" t="s">
        <v>29</v>
      </c>
      <c r="H65" s="27">
        <v>6</v>
      </c>
      <c r="I65" s="45">
        <v>7666.67</v>
      </c>
      <c r="J65" s="45">
        <v>0</v>
      </c>
      <c r="K65" s="45">
        <v>22998</v>
      </c>
      <c r="L65" s="45"/>
      <c r="M65" s="45"/>
      <c r="N65" s="45"/>
      <c r="O65" s="45">
        <v>0</v>
      </c>
      <c r="P65" s="118">
        <v>0</v>
      </c>
      <c r="Q65" s="126">
        <v>0</v>
      </c>
      <c r="R65" s="32">
        <f t="shared" si="0"/>
        <v>0</v>
      </c>
      <c r="S65" s="60">
        <f t="shared" si="25"/>
        <v>0</v>
      </c>
      <c r="T65" s="60"/>
      <c r="U65" s="32">
        <f t="shared" si="1"/>
        <v>0</v>
      </c>
      <c r="V65" s="32"/>
      <c r="W65" s="126">
        <v>0</v>
      </c>
      <c r="X65" s="60"/>
      <c r="Y65" s="60"/>
      <c r="Z65" s="32">
        <f t="shared" si="26"/>
        <v>0</v>
      </c>
      <c r="AA65" s="34" t="s">
        <v>109</v>
      </c>
      <c r="AB65" s="127"/>
    </row>
    <row r="66" spans="1:28" ht="15" customHeight="1" x14ac:dyDescent="0.35">
      <c r="A66" s="264"/>
      <c r="B66" s="272"/>
      <c r="C66" s="272"/>
      <c r="D66" s="25" t="s">
        <v>17</v>
      </c>
      <c r="E66" s="25" t="s">
        <v>104</v>
      </c>
      <c r="F66" s="55" t="s">
        <v>36</v>
      </c>
      <c r="G66" s="27" t="s">
        <v>55</v>
      </c>
      <c r="H66" s="27">
        <v>1</v>
      </c>
      <c r="I66" s="45">
        <v>5000</v>
      </c>
      <c r="J66" s="45">
        <v>18750</v>
      </c>
      <c r="K66" s="45">
        <v>0</v>
      </c>
      <c r="L66" s="45"/>
      <c r="M66" s="45">
        <v>3762.14</v>
      </c>
      <c r="N66" s="45">
        <v>2110.1438050909092</v>
      </c>
      <c r="O66" s="45">
        <v>0</v>
      </c>
      <c r="P66" s="118">
        <v>12877.716194909091</v>
      </c>
      <c r="Q66" s="126">
        <v>12877.71</v>
      </c>
      <c r="R66" s="32">
        <f t="shared" si="0"/>
        <v>18749.993805090908</v>
      </c>
      <c r="S66" s="60">
        <f t="shared" si="25"/>
        <v>-5872.2776101818163</v>
      </c>
      <c r="T66" s="60"/>
      <c r="U66" s="32">
        <f t="shared" si="1"/>
        <v>6.1949090923008043E-3</v>
      </c>
      <c r="V66" s="32"/>
      <c r="W66" s="126">
        <v>0</v>
      </c>
      <c r="X66" s="60"/>
      <c r="Y66" s="60"/>
      <c r="Z66" s="32">
        <f t="shared" si="26"/>
        <v>6.1949090923008043E-3</v>
      </c>
      <c r="AA66" s="34" t="s">
        <v>110</v>
      </c>
      <c r="AB66" s="127"/>
    </row>
    <row r="67" spans="1:28" ht="15" customHeight="1" x14ac:dyDescent="0.35">
      <c r="A67" s="264"/>
      <c r="B67" s="272"/>
      <c r="C67" s="272"/>
      <c r="D67" s="25" t="s">
        <v>33</v>
      </c>
      <c r="E67" s="25" t="s">
        <v>34</v>
      </c>
      <c r="F67" s="55" t="s">
        <v>53</v>
      </c>
      <c r="G67" s="27" t="s">
        <v>62</v>
      </c>
      <c r="H67" s="27">
        <v>4</v>
      </c>
      <c r="I67" s="45">
        <v>200</v>
      </c>
      <c r="J67" s="45">
        <v>0</v>
      </c>
      <c r="K67" s="45">
        <v>800</v>
      </c>
      <c r="L67" s="45"/>
      <c r="M67" s="45"/>
      <c r="N67" s="45"/>
      <c r="O67" s="45">
        <v>0</v>
      </c>
      <c r="P67" s="118">
        <v>0</v>
      </c>
      <c r="Q67" s="126">
        <v>600</v>
      </c>
      <c r="R67" s="32">
        <f t="shared" si="0"/>
        <v>600</v>
      </c>
      <c r="S67" s="60">
        <f t="shared" si="25"/>
        <v>-600</v>
      </c>
      <c r="T67" s="60"/>
      <c r="U67" s="32">
        <f t="shared" si="1"/>
        <v>-600</v>
      </c>
      <c r="V67" s="32"/>
      <c r="W67" s="126">
        <v>0</v>
      </c>
      <c r="X67" s="60"/>
      <c r="Y67" s="60"/>
      <c r="Z67" s="32">
        <f t="shared" si="26"/>
        <v>-600</v>
      </c>
      <c r="AA67" s="34" t="s">
        <v>111</v>
      </c>
      <c r="AB67" s="127"/>
    </row>
    <row r="68" spans="1:28" ht="15" customHeight="1" x14ac:dyDescent="0.35">
      <c r="A68" s="264"/>
      <c r="B68" s="25"/>
      <c r="C68" s="39"/>
      <c r="D68" s="39"/>
      <c r="E68" s="39"/>
      <c r="F68" s="57"/>
      <c r="G68" s="41"/>
      <c r="H68" s="41"/>
      <c r="I68" s="54"/>
      <c r="J68" s="54">
        <f>SUM(J61:J67)</f>
        <v>267999.99959999998</v>
      </c>
      <c r="K68" s="54">
        <f t="shared" ref="K68:L68" si="27">SUM(K61:K67)</f>
        <v>73398</v>
      </c>
      <c r="L68" s="54">
        <f t="shared" si="27"/>
        <v>0</v>
      </c>
      <c r="M68" s="54">
        <v>14401.919999999998</v>
      </c>
      <c r="N68" s="54">
        <v>15673.345863490946</v>
      </c>
      <c r="O68" s="54">
        <v>95361.777036791595</v>
      </c>
      <c r="P68" s="54">
        <f>SUM(P61:P67)</f>
        <v>142562.95669971744</v>
      </c>
      <c r="Q68" s="54">
        <f t="shared" ref="Q68:Z68" si="28">SUM(Q61:Q67)</f>
        <v>86017.709999999992</v>
      </c>
      <c r="R68" s="54">
        <f t="shared" si="28"/>
        <v>211454.75290028253</v>
      </c>
      <c r="S68" s="54">
        <f t="shared" si="28"/>
        <v>-68891.796200565092</v>
      </c>
      <c r="T68" s="54">
        <f t="shared" si="28"/>
        <v>0</v>
      </c>
      <c r="U68" s="54">
        <f t="shared" si="28"/>
        <v>56545.246699717449</v>
      </c>
      <c r="V68" s="54">
        <f t="shared" si="28"/>
        <v>0</v>
      </c>
      <c r="W68" s="54">
        <f t="shared" ref="W68" si="29">SUM(W61:W67)</f>
        <v>57145.25</v>
      </c>
      <c r="X68" s="54">
        <f t="shared" si="28"/>
        <v>0</v>
      </c>
      <c r="Y68" s="54">
        <f t="shared" si="28"/>
        <v>0</v>
      </c>
      <c r="Z68" s="54">
        <f t="shared" si="28"/>
        <v>-600.00330028254757</v>
      </c>
      <c r="AA68" s="49"/>
      <c r="AB68" s="128"/>
    </row>
    <row r="69" spans="1:28" ht="15" customHeight="1" x14ac:dyDescent="0.35">
      <c r="A69" s="264"/>
      <c r="B69" s="272" t="s">
        <v>112</v>
      </c>
      <c r="C69" s="272" t="s">
        <v>113</v>
      </c>
      <c r="D69" s="25" t="s">
        <v>17</v>
      </c>
      <c r="E69" s="50" t="s">
        <v>34</v>
      </c>
      <c r="F69" s="55" t="s">
        <v>28</v>
      </c>
      <c r="G69" s="27" t="s">
        <v>44</v>
      </c>
      <c r="H69" s="27">
        <v>0.25</v>
      </c>
      <c r="I69" s="35">
        <v>38000</v>
      </c>
      <c r="J69" s="35">
        <v>28874</v>
      </c>
      <c r="K69" s="35">
        <v>0</v>
      </c>
      <c r="L69" s="35"/>
      <c r="M69" s="35">
        <v>5014.1499999999996</v>
      </c>
      <c r="N69" s="35">
        <v>7171.34</v>
      </c>
      <c r="O69" s="35">
        <v>6630.9400000000005</v>
      </c>
      <c r="P69" s="114">
        <v>10057.57</v>
      </c>
      <c r="Q69" s="76">
        <v>1452.02</v>
      </c>
      <c r="R69" s="32">
        <f t="shared" si="0"/>
        <v>20268.45</v>
      </c>
      <c r="S69" s="60">
        <f t="shared" ref="S69:S82" si="30">P69-R69</f>
        <v>-10210.880000000001</v>
      </c>
      <c r="T69" s="60">
        <v>7859.56</v>
      </c>
      <c r="U69" s="32">
        <f t="shared" si="1"/>
        <v>8605.5499999999993</v>
      </c>
      <c r="V69" s="32"/>
      <c r="W69" s="76"/>
      <c r="X69" s="60">
        <v>8605.5499999999993</v>
      </c>
      <c r="Y69" s="60"/>
      <c r="Z69" s="32">
        <f t="shared" ref="Z69:Z82" si="31">U69-(W69+X69+Y69)</f>
        <v>0</v>
      </c>
      <c r="AA69" s="34" t="s">
        <v>114</v>
      </c>
      <c r="AB69" s="127" t="s">
        <v>1103</v>
      </c>
    </row>
    <row r="70" spans="1:28" ht="15" customHeight="1" x14ac:dyDescent="0.35">
      <c r="A70" s="264"/>
      <c r="B70" s="272"/>
      <c r="C70" s="272"/>
      <c r="D70" s="25" t="s">
        <v>33</v>
      </c>
      <c r="E70" s="50" t="s">
        <v>34</v>
      </c>
      <c r="F70" s="55" t="s">
        <v>28</v>
      </c>
      <c r="G70" s="27" t="s">
        <v>29</v>
      </c>
      <c r="H70" s="27">
        <v>20</v>
      </c>
      <c r="I70" s="35">
        <v>500</v>
      </c>
      <c r="J70" s="35">
        <v>0</v>
      </c>
      <c r="K70" s="35">
        <v>10000</v>
      </c>
      <c r="L70" s="35"/>
      <c r="M70" s="35"/>
      <c r="N70" s="35"/>
      <c r="O70" s="35">
        <v>0</v>
      </c>
      <c r="P70" s="114">
        <v>0</v>
      </c>
      <c r="Q70" s="76">
        <v>0</v>
      </c>
      <c r="R70" s="32">
        <f t="shared" si="0"/>
        <v>0</v>
      </c>
      <c r="S70" s="60">
        <f t="shared" si="30"/>
        <v>0</v>
      </c>
      <c r="T70" s="60"/>
      <c r="U70" s="32">
        <f t="shared" si="1"/>
        <v>0</v>
      </c>
      <c r="V70" s="32"/>
      <c r="W70" s="76"/>
      <c r="X70" s="60"/>
      <c r="Y70" s="60"/>
      <c r="Z70" s="32">
        <f t="shared" si="31"/>
        <v>0</v>
      </c>
      <c r="AA70" s="34" t="s">
        <v>115</v>
      </c>
      <c r="AB70" s="127"/>
    </row>
    <row r="71" spans="1:28" ht="15" customHeight="1" x14ac:dyDescent="0.35">
      <c r="A71" s="264"/>
      <c r="B71" s="272"/>
      <c r="C71" s="272"/>
      <c r="D71" s="25" t="s">
        <v>17</v>
      </c>
      <c r="E71" s="50" t="s">
        <v>34</v>
      </c>
      <c r="F71" s="55" t="s">
        <v>57</v>
      </c>
      <c r="G71" s="27" t="s">
        <v>58</v>
      </c>
      <c r="H71" s="27">
        <v>120</v>
      </c>
      <c r="I71" s="35">
        <v>600</v>
      </c>
      <c r="J71" s="35">
        <v>72000</v>
      </c>
      <c r="K71" s="35">
        <v>0</v>
      </c>
      <c r="L71" s="35"/>
      <c r="M71" s="35"/>
      <c r="N71" s="35"/>
      <c r="O71" s="35">
        <v>0</v>
      </c>
      <c r="P71" s="114">
        <v>72000</v>
      </c>
      <c r="Q71" s="76">
        <v>0</v>
      </c>
      <c r="R71" s="32">
        <f t="shared" si="0"/>
        <v>0</v>
      </c>
      <c r="S71" s="60">
        <f t="shared" si="30"/>
        <v>72000</v>
      </c>
      <c r="T71" s="60"/>
      <c r="U71" s="32">
        <f t="shared" si="1"/>
        <v>72000</v>
      </c>
      <c r="V71" s="32"/>
      <c r="W71" s="76"/>
      <c r="X71" s="60"/>
      <c r="Y71" s="60"/>
      <c r="Z71" s="32">
        <f t="shared" si="31"/>
        <v>72000</v>
      </c>
      <c r="AA71" s="34" t="s">
        <v>116</v>
      </c>
      <c r="AB71" s="234" t="s">
        <v>1083</v>
      </c>
    </row>
    <row r="72" spans="1:28" ht="15" customHeight="1" x14ac:dyDescent="0.35">
      <c r="A72" s="264"/>
      <c r="B72" s="272"/>
      <c r="C72" s="272"/>
      <c r="D72" s="25" t="s">
        <v>17</v>
      </c>
      <c r="E72" s="50" t="s">
        <v>34</v>
      </c>
      <c r="F72" s="55" t="s">
        <v>36</v>
      </c>
      <c r="G72" s="27" t="s">
        <v>55</v>
      </c>
      <c r="H72" s="27">
        <v>4</v>
      </c>
      <c r="I72" s="35">
        <v>3500</v>
      </c>
      <c r="J72" s="35">
        <v>14000</v>
      </c>
      <c r="K72" s="35">
        <v>0</v>
      </c>
      <c r="L72" s="35"/>
      <c r="M72" s="35"/>
      <c r="N72" s="35"/>
      <c r="O72" s="35">
        <v>0</v>
      </c>
      <c r="P72" s="114">
        <v>14000</v>
      </c>
      <c r="Q72" s="76">
        <v>3016.39</v>
      </c>
      <c r="R72" s="32">
        <f t="shared" si="0"/>
        <v>3016.39</v>
      </c>
      <c r="S72" s="60">
        <f t="shared" si="30"/>
        <v>10983.61</v>
      </c>
      <c r="T72" s="60"/>
      <c r="U72" s="32">
        <f t="shared" si="1"/>
        <v>10983.61</v>
      </c>
      <c r="V72" s="32"/>
      <c r="W72" s="76">
        <v>7000</v>
      </c>
      <c r="X72" s="60">
        <v>3983.61</v>
      </c>
      <c r="Y72" s="60"/>
      <c r="Z72" s="32">
        <f t="shared" si="31"/>
        <v>0</v>
      </c>
      <c r="AA72" s="34" t="s">
        <v>117</v>
      </c>
      <c r="AB72" s="127"/>
    </row>
    <row r="73" spans="1:28" ht="34" customHeight="1" x14ac:dyDescent="0.35">
      <c r="A73" s="264"/>
      <c r="B73" s="272"/>
      <c r="C73" s="272"/>
      <c r="D73" s="25" t="s">
        <v>17</v>
      </c>
      <c r="E73" s="50" t="s">
        <v>34</v>
      </c>
      <c r="F73" s="55" t="s">
        <v>118</v>
      </c>
      <c r="G73" s="27" t="s">
        <v>62</v>
      </c>
      <c r="H73" s="27">
        <v>1</v>
      </c>
      <c r="I73" s="35">
        <v>30000</v>
      </c>
      <c r="J73" s="35">
        <v>30000</v>
      </c>
      <c r="K73" s="35">
        <v>0</v>
      </c>
      <c r="L73" s="35"/>
      <c r="M73" s="35"/>
      <c r="N73" s="35"/>
      <c r="O73" s="63">
        <v>0</v>
      </c>
      <c r="P73" s="114">
        <v>30000</v>
      </c>
      <c r="Q73" s="76">
        <v>4270.01</v>
      </c>
      <c r="R73" s="32">
        <f t="shared" ref="R73:R82" si="32">L73+M73+N73+O73+Q73</f>
        <v>4270.01</v>
      </c>
      <c r="S73" s="60">
        <f t="shared" si="30"/>
        <v>25729.989999999998</v>
      </c>
      <c r="T73" s="60"/>
      <c r="U73" s="32">
        <f t="shared" ref="U73:U82" si="33">P73-Q73</f>
        <v>25729.989999999998</v>
      </c>
      <c r="V73" s="32"/>
      <c r="W73" s="76"/>
      <c r="X73" s="60">
        <v>25729.99</v>
      </c>
      <c r="Y73" s="60"/>
      <c r="Z73" s="32">
        <f t="shared" si="31"/>
        <v>0</v>
      </c>
      <c r="AA73" s="34" t="s">
        <v>119</v>
      </c>
      <c r="AB73" s="234" t="s">
        <v>1083</v>
      </c>
    </row>
    <row r="74" spans="1:28" ht="34" customHeight="1" x14ac:dyDescent="0.35">
      <c r="A74" s="264"/>
      <c r="B74" s="272"/>
      <c r="C74" s="272"/>
      <c r="D74" s="129" t="s">
        <v>17</v>
      </c>
      <c r="E74" s="130" t="s">
        <v>34</v>
      </c>
      <c r="F74" s="131" t="s">
        <v>120</v>
      </c>
      <c r="G74" s="132"/>
      <c r="H74" s="132"/>
      <c r="I74" s="133"/>
      <c r="J74" s="133"/>
      <c r="K74" s="133"/>
      <c r="L74" s="133"/>
      <c r="M74" s="133"/>
      <c r="N74" s="133"/>
      <c r="O74" s="133"/>
      <c r="P74" s="133"/>
      <c r="Q74" s="134">
        <v>0</v>
      </c>
      <c r="R74" s="32">
        <f t="shared" si="32"/>
        <v>0</v>
      </c>
      <c r="S74" s="135">
        <f t="shared" si="30"/>
        <v>0</v>
      </c>
      <c r="T74" s="135"/>
      <c r="U74" s="32">
        <f t="shared" si="33"/>
        <v>0</v>
      </c>
      <c r="V74" s="32"/>
      <c r="W74" s="134"/>
      <c r="X74" s="135"/>
      <c r="Y74" s="135"/>
      <c r="Z74" s="32">
        <f t="shared" si="31"/>
        <v>0</v>
      </c>
      <c r="AA74" s="136" t="s">
        <v>121</v>
      </c>
      <c r="AB74" s="137" t="s">
        <v>551</v>
      </c>
    </row>
    <row r="75" spans="1:28" ht="24" customHeight="1" x14ac:dyDescent="0.35">
      <c r="A75" s="264"/>
      <c r="B75" s="272"/>
      <c r="C75" s="272"/>
      <c r="D75" s="25" t="s">
        <v>17</v>
      </c>
      <c r="E75" s="50" t="s">
        <v>34</v>
      </c>
      <c r="F75" s="55" t="s">
        <v>64</v>
      </c>
      <c r="G75" s="27" t="s">
        <v>62</v>
      </c>
      <c r="H75" s="27">
        <v>1</v>
      </c>
      <c r="I75" s="35">
        <v>77000</v>
      </c>
      <c r="J75" s="35">
        <v>77000</v>
      </c>
      <c r="K75" s="35">
        <v>0</v>
      </c>
      <c r="L75" s="35"/>
      <c r="M75" s="35"/>
      <c r="N75" s="35"/>
      <c r="O75" s="35">
        <v>0</v>
      </c>
      <c r="P75" s="114">
        <v>77000</v>
      </c>
      <c r="Q75" s="76">
        <v>40677.97</v>
      </c>
      <c r="R75" s="32">
        <f t="shared" si="32"/>
        <v>40677.97</v>
      </c>
      <c r="S75" s="60">
        <f t="shared" si="30"/>
        <v>36322.03</v>
      </c>
      <c r="T75" s="60" t="e">
        <f>P75-#REF!</f>
        <v>#REF!</v>
      </c>
      <c r="U75" s="32">
        <f t="shared" si="33"/>
        <v>36322.03</v>
      </c>
      <c r="V75" s="32"/>
      <c r="W75" s="76">
        <v>5000</v>
      </c>
      <c r="X75" s="60">
        <v>15322.03</v>
      </c>
      <c r="Y75" s="60">
        <v>16000</v>
      </c>
      <c r="Z75" s="32">
        <f t="shared" si="31"/>
        <v>0</v>
      </c>
      <c r="AA75" s="34" t="s">
        <v>122</v>
      </c>
      <c r="AB75" s="127" t="s">
        <v>552</v>
      </c>
    </row>
    <row r="76" spans="1:28" ht="15" customHeight="1" x14ac:dyDescent="0.35">
      <c r="A76" s="264"/>
      <c r="B76" s="272"/>
      <c r="C76" s="272"/>
      <c r="D76" s="25" t="s">
        <v>17</v>
      </c>
      <c r="E76" s="50" t="s">
        <v>34</v>
      </c>
      <c r="F76" s="55" t="s">
        <v>123</v>
      </c>
      <c r="G76" s="27" t="s">
        <v>37</v>
      </c>
      <c r="H76" s="27">
        <v>1</v>
      </c>
      <c r="I76" s="35">
        <v>2000</v>
      </c>
      <c r="J76" s="35">
        <v>2000</v>
      </c>
      <c r="K76" s="35">
        <v>0</v>
      </c>
      <c r="L76" s="35"/>
      <c r="M76" s="35"/>
      <c r="N76" s="35"/>
      <c r="O76" s="35">
        <v>0</v>
      </c>
      <c r="P76" s="114">
        <v>2000</v>
      </c>
      <c r="Q76" s="76">
        <v>2543.83</v>
      </c>
      <c r="R76" s="32">
        <f t="shared" si="32"/>
        <v>2543.83</v>
      </c>
      <c r="S76" s="60">
        <f t="shared" si="30"/>
        <v>-543.82999999999993</v>
      </c>
      <c r="T76" s="60"/>
      <c r="U76" s="32">
        <f t="shared" si="33"/>
        <v>-543.82999999999993</v>
      </c>
      <c r="V76" s="32"/>
      <c r="W76" s="76"/>
      <c r="X76" s="60"/>
      <c r="Y76" s="60"/>
      <c r="Z76" s="32">
        <f t="shared" si="31"/>
        <v>-543.82999999999993</v>
      </c>
      <c r="AA76" s="34" t="s">
        <v>124</v>
      </c>
      <c r="AB76" s="127" t="s">
        <v>553</v>
      </c>
    </row>
    <row r="77" spans="1:28" ht="15" customHeight="1" x14ac:dyDescent="0.35">
      <c r="A77" s="264"/>
      <c r="B77" s="272"/>
      <c r="C77" s="272"/>
      <c r="D77" s="25" t="s">
        <v>17</v>
      </c>
      <c r="E77" s="50" t="s">
        <v>34</v>
      </c>
      <c r="F77" s="55" t="s">
        <v>53</v>
      </c>
      <c r="G77" s="27" t="s">
        <v>62</v>
      </c>
      <c r="H77" s="27">
        <v>1</v>
      </c>
      <c r="I77" s="35">
        <v>5000</v>
      </c>
      <c r="J77" s="35">
        <v>5000</v>
      </c>
      <c r="K77" s="35">
        <v>0</v>
      </c>
      <c r="L77" s="35"/>
      <c r="M77" s="35"/>
      <c r="N77" s="35"/>
      <c r="O77" s="35">
        <v>0</v>
      </c>
      <c r="P77" s="114">
        <v>5000</v>
      </c>
      <c r="Q77" s="76">
        <v>4230.72</v>
      </c>
      <c r="R77" s="32">
        <f t="shared" si="32"/>
        <v>4230.72</v>
      </c>
      <c r="S77" s="60">
        <f t="shared" si="30"/>
        <v>769.27999999999975</v>
      </c>
      <c r="T77" s="60"/>
      <c r="U77" s="32">
        <f t="shared" si="33"/>
        <v>769.27999999999975</v>
      </c>
      <c r="V77" s="32"/>
      <c r="W77" s="76"/>
      <c r="X77" s="60">
        <v>769.28</v>
      </c>
      <c r="Y77" s="60"/>
      <c r="Z77" s="32">
        <f t="shared" si="31"/>
        <v>0</v>
      </c>
      <c r="AA77" s="34" t="s">
        <v>125</v>
      </c>
      <c r="AB77" s="127" t="s">
        <v>554</v>
      </c>
    </row>
    <row r="78" spans="1:28" ht="15" customHeight="1" x14ac:dyDescent="0.35">
      <c r="A78" s="264"/>
      <c r="B78" s="272"/>
      <c r="C78" s="272"/>
      <c r="D78" s="25" t="s">
        <v>17</v>
      </c>
      <c r="E78" s="50" t="s">
        <v>34</v>
      </c>
      <c r="F78" s="55" t="s">
        <v>69</v>
      </c>
      <c r="G78" s="27" t="s">
        <v>55</v>
      </c>
      <c r="H78" s="27">
        <v>9</v>
      </c>
      <c r="I78" s="45">
        <v>2000</v>
      </c>
      <c r="J78" s="45">
        <v>19400</v>
      </c>
      <c r="K78" s="45">
        <v>0</v>
      </c>
      <c r="L78" s="45"/>
      <c r="M78" s="45"/>
      <c r="N78" s="35"/>
      <c r="O78" s="35">
        <v>0</v>
      </c>
      <c r="P78" s="118">
        <v>19400</v>
      </c>
      <c r="Q78" s="76">
        <v>6779.7300000000005</v>
      </c>
      <c r="R78" s="32">
        <f t="shared" si="32"/>
        <v>6779.7300000000005</v>
      </c>
      <c r="S78" s="60">
        <f t="shared" si="30"/>
        <v>12620.27</v>
      </c>
      <c r="T78" s="60"/>
      <c r="U78" s="32">
        <f t="shared" si="33"/>
        <v>12620.27</v>
      </c>
      <c r="V78" s="32"/>
      <c r="W78" s="76">
        <v>0</v>
      </c>
      <c r="X78" s="60">
        <v>12620.27</v>
      </c>
      <c r="Y78" s="60"/>
      <c r="Z78" s="32">
        <f t="shared" si="31"/>
        <v>0</v>
      </c>
      <c r="AA78" s="34" t="s">
        <v>126</v>
      </c>
      <c r="AB78" s="127" t="s">
        <v>555</v>
      </c>
    </row>
    <row r="79" spans="1:28" ht="15" customHeight="1" x14ac:dyDescent="0.35">
      <c r="A79" s="264"/>
      <c r="B79" s="272"/>
      <c r="C79" s="272"/>
      <c r="D79" s="25" t="s">
        <v>17</v>
      </c>
      <c r="E79" s="50" t="s">
        <v>34</v>
      </c>
      <c r="F79" s="55" t="s">
        <v>127</v>
      </c>
      <c r="G79" s="27" t="s">
        <v>55</v>
      </c>
      <c r="H79" s="27">
        <v>4</v>
      </c>
      <c r="I79" s="35">
        <v>500</v>
      </c>
      <c r="J79" s="35">
        <v>2000</v>
      </c>
      <c r="K79" s="35">
        <v>0</v>
      </c>
      <c r="L79" s="35"/>
      <c r="M79" s="35"/>
      <c r="N79" s="45"/>
      <c r="O79" s="45">
        <v>0</v>
      </c>
      <c r="P79" s="114">
        <v>2000</v>
      </c>
      <c r="Q79" s="76">
        <v>363.4</v>
      </c>
      <c r="R79" s="32">
        <f t="shared" si="32"/>
        <v>363.4</v>
      </c>
      <c r="S79" s="60">
        <f t="shared" si="30"/>
        <v>1636.6</v>
      </c>
      <c r="T79" s="60"/>
      <c r="U79" s="32">
        <f t="shared" si="33"/>
        <v>1636.6</v>
      </c>
      <c r="V79" s="32"/>
      <c r="W79" s="76">
        <v>0</v>
      </c>
      <c r="X79" s="60">
        <v>1636</v>
      </c>
      <c r="Y79" s="60"/>
      <c r="Z79" s="32">
        <f t="shared" si="31"/>
        <v>0.59999999999990905</v>
      </c>
      <c r="AA79" s="34" t="s">
        <v>128</v>
      </c>
      <c r="AB79" s="127"/>
    </row>
    <row r="80" spans="1:28" ht="15" customHeight="1" x14ac:dyDescent="0.35">
      <c r="A80" s="264"/>
      <c r="B80" s="272"/>
      <c r="C80" s="272"/>
      <c r="D80" s="25" t="s">
        <v>17</v>
      </c>
      <c r="E80" s="50" t="s">
        <v>34</v>
      </c>
      <c r="F80" s="55" t="s">
        <v>39</v>
      </c>
      <c r="G80" s="27" t="s">
        <v>40</v>
      </c>
      <c r="H80" s="27">
        <v>2</v>
      </c>
      <c r="I80" s="35">
        <v>2500</v>
      </c>
      <c r="J80" s="35">
        <v>5000</v>
      </c>
      <c r="K80" s="35">
        <v>0</v>
      </c>
      <c r="L80" s="35"/>
      <c r="M80" s="35"/>
      <c r="N80" s="35"/>
      <c r="O80" s="35">
        <v>0</v>
      </c>
      <c r="P80" s="114">
        <v>5000</v>
      </c>
      <c r="Q80" s="76">
        <v>599.62</v>
      </c>
      <c r="R80" s="32">
        <f t="shared" si="32"/>
        <v>599.62</v>
      </c>
      <c r="S80" s="60">
        <f t="shared" si="30"/>
        <v>4400.38</v>
      </c>
      <c r="T80" s="60"/>
      <c r="U80" s="32">
        <f t="shared" si="33"/>
        <v>4400.38</v>
      </c>
      <c r="V80" s="32"/>
      <c r="W80" s="76"/>
      <c r="X80" s="60">
        <v>2400.38</v>
      </c>
      <c r="Y80" s="60">
        <v>2000</v>
      </c>
      <c r="Z80" s="32">
        <f t="shared" si="31"/>
        <v>0</v>
      </c>
      <c r="AA80" s="34" t="s">
        <v>129</v>
      </c>
      <c r="AB80" s="234" t="s">
        <v>1084</v>
      </c>
    </row>
    <row r="81" spans="1:28" ht="15" customHeight="1" x14ac:dyDescent="0.35">
      <c r="A81" s="264"/>
      <c r="B81" s="272"/>
      <c r="C81" s="272"/>
      <c r="D81" s="25" t="s">
        <v>17</v>
      </c>
      <c r="E81" s="50" t="s">
        <v>34</v>
      </c>
      <c r="F81" s="55" t="s">
        <v>130</v>
      </c>
      <c r="G81" s="27" t="s">
        <v>40</v>
      </c>
      <c r="H81" s="27">
        <v>4</v>
      </c>
      <c r="I81" s="35">
        <v>1000</v>
      </c>
      <c r="J81" s="35">
        <v>4000</v>
      </c>
      <c r="K81" s="35">
        <v>0</v>
      </c>
      <c r="L81" s="35"/>
      <c r="M81" s="35"/>
      <c r="N81" s="35"/>
      <c r="O81" s="35">
        <v>0</v>
      </c>
      <c r="P81" s="114">
        <v>4000</v>
      </c>
      <c r="Q81" s="76">
        <v>3243.39</v>
      </c>
      <c r="R81" s="32">
        <f t="shared" si="32"/>
        <v>3243.39</v>
      </c>
      <c r="S81" s="60">
        <f t="shared" si="30"/>
        <v>756.61000000000013</v>
      </c>
      <c r="T81" s="60"/>
      <c r="U81" s="32">
        <f t="shared" si="33"/>
        <v>756.61000000000013</v>
      </c>
      <c r="V81" s="32"/>
      <c r="W81" s="76">
        <v>2000</v>
      </c>
      <c r="X81" s="60"/>
      <c r="Y81" s="60"/>
      <c r="Z81" s="32">
        <f t="shared" si="31"/>
        <v>-1243.3899999999999</v>
      </c>
      <c r="AA81" s="34" t="s">
        <v>131</v>
      </c>
      <c r="AB81" s="127"/>
    </row>
    <row r="82" spans="1:28" ht="15" customHeight="1" x14ac:dyDescent="0.35">
      <c r="A82" s="264"/>
      <c r="B82" s="272"/>
      <c r="C82" s="272"/>
      <c r="D82" s="25" t="s">
        <v>17</v>
      </c>
      <c r="E82" s="50" t="s">
        <v>34</v>
      </c>
      <c r="F82" s="55" t="s">
        <v>132</v>
      </c>
      <c r="G82" s="27" t="s">
        <v>86</v>
      </c>
      <c r="H82" s="27">
        <v>4</v>
      </c>
      <c r="I82" s="35">
        <v>2000</v>
      </c>
      <c r="J82" s="35">
        <v>8000</v>
      </c>
      <c r="K82" s="35">
        <v>0</v>
      </c>
      <c r="L82" s="35"/>
      <c r="M82" s="35"/>
      <c r="N82" s="35"/>
      <c r="O82" s="35">
        <v>0</v>
      </c>
      <c r="P82" s="114">
        <v>8000</v>
      </c>
      <c r="Q82" s="76">
        <v>0</v>
      </c>
      <c r="R82" s="32">
        <f t="shared" si="32"/>
        <v>0</v>
      </c>
      <c r="S82" s="60">
        <f t="shared" si="30"/>
        <v>8000</v>
      </c>
      <c r="T82" s="60"/>
      <c r="U82" s="32">
        <f t="shared" si="33"/>
        <v>8000</v>
      </c>
      <c r="V82" s="32"/>
      <c r="W82" s="76">
        <v>0</v>
      </c>
      <c r="X82" s="60">
        <v>4000</v>
      </c>
      <c r="Y82" s="60">
        <v>4000</v>
      </c>
      <c r="Z82" s="32">
        <f t="shared" si="31"/>
        <v>0</v>
      </c>
      <c r="AA82" s="34" t="s">
        <v>133</v>
      </c>
      <c r="AB82" s="127" t="s">
        <v>556</v>
      </c>
    </row>
    <row r="83" spans="1:28" ht="15" customHeight="1" x14ac:dyDescent="0.35">
      <c r="A83" s="264"/>
      <c r="B83" s="272"/>
      <c r="C83" s="39"/>
      <c r="D83" s="39"/>
      <c r="E83" s="53"/>
      <c r="F83" s="57"/>
      <c r="G83" s="41"/>
      <c r="H83" s="41"/>
      <c r="I83" s="42"/>
      <c r="J83" s="42">
        <f>SUM(J69:J82)</f>
        <v>267274</v>
      </c>
      <c r="K83" s="42">
        <f t="shared" ref="K83:Z83" si="34">SUM(K69:K82)</f>
        <v>10000</v>
      </c>
      <c r="L83" s="42">
        <f t="shared" si="34"/>
        <v>0</v>
      </c>
      <c r="M83" s="42">
        <v>5014.1499999999996</v>
      </c>
      <c r="N83" s="42">
        <v>7171.34</v>
      </c>
      <c r="O83" s="42">
        <v>6630.9400000000005</v>
      </c>
      <c r="P83" s="42">
        <f t="shared" si="34"/>
        <v>248457.57</v>
      </c>
      <c r="Q83" s="42">
        <f t="shared" si="34"/>
        <v>67177.080000000016</v>
      </c>
      <c r="R83" s="42">
        <f t="shared" si="34"/>
        <v>85993.51</v>
      </c>
      <c r="S83" s="42">
        <f t="shared" si="34"/>
        <v>162464.06</v>
      </c>
      <c r="T83" s="42" t="e">
        <f t="shared" si="34"/>
        <v>#REF!</v>
      </c>
      <c r="U83" s="42">
        <f t="shared" si="34"/>
        <v>181280.49</v>
      </c>
      <c r="V83" s="42">
        <f t="shared" si="34"/>
        <v>0</v>
      </c>
      <c r="W83" s="42">
        <f t="shared" si="34"/>
        <v>14000</v>
      </c>
      <c r="X83" s="42">
        <f t="shared" si="34"/>
        <v>75067.11</v>
      </c>
      <c r="Y83" s="42">
        <f t="shared" si="34"/>
        <v>22000</v>
      </c>
      <c r="Z83" s="42">
        <f t="shared" si="34"/>
        <v>70213.38</v>
      </c>
      <c r="AA83" s="49"/>
      <c r="AB83" s="125" t="s">
        <v>2</v>
      </c>
    </row>
    <row r="84" spans="1:28" ht="15" customHeight="1" x14ac:dyDescent="0.35">
      <c r="A84" s="264"/>
      <c r="B84" s="272"/>
      <c r="C84" s="272" t="s">
        <v>134</v>
      </c>
      <c r="D84" s="25" t="s">
        <v>17</v>
      </c>
      <c r="E84" s="50" t="s">
        <v>34</v>
      </c>
      <c r="F84" s="55" t="s">
        <v>28</v>
      </c>
      <c r="G84" s="27" t="s">
        <v>44</v>
      </c>
      <c r="H84" s="27">
        <v>0.25</v>
      </c>
      <c r="I84" s="35">
        <v>38000</v>
      </c>
      <c r="J84" s="35">
        <v>28876</v>
      </c>
      <c r="K84" s="35">
        <v>0</v>
      </c>
      <c r="L84" s="35"/>
      <c r="M84" s="35">
        <v>5014.1499999999996</v>
      </c>
      <c r="N84" s="35">
        <v>7171.34</v>
      </c>
      <c r="O84" s="35">
        <v>6630.9500000000007</v>
      </c>
      <c r="P84" s="114">
        <v>10059.559999999998</v>
      </c>
      <c r="Q84" s="126">
        <v>1452.02</v>
      </c>
      <c r="R84" s="32">
        <f t="shared" ref="R84:R93" si="35">L84+M84+N84+O84+Q84</f>
        <v>20268.460000000003</v>
      </c>
      <c r="S84" s="60">
        <f t="shared" ref="S84:S93" si="36">P84-R84</f>
        <v>-10208.900000000005</v>
      </c>
      <c r="T84" s="60">
        <f>P84-R84</f>
        <v>-10208.900000000005</v>
      </c>
      <c r="U84" s="32">
        <f t="shared" ref="U84:U93" si="37">P84-Q84</f>
        <v>8607.5399999999972</v>
      </c>
      <c r="V84" s="32"/>
      <c r="W84" s="126">
        <v>0</v>
      </c>
      <c r="X84" s="60">
        <v>8607.5400000000009</v>
      </c>
      <c r="Y84" s="60"/>
      <c r="Z84" s="32">
        <f t="shared" ref="Z84:Z93" si="38">U84-(W84+X84+Y84)</f>
        <v>0</v>
      </c>
      <c r="AA84" s="34" t="s">
        <v>135</v>
      </c>
      <c r="AB84" s="127" t="s">
        <v>557</v>
      </c>
    </row>
    <row r="85" spans="1:28" ht="15" customHeight="1" x14ac:dyDescent="0.35">
      <c r="A85" s="264"/>
      <c r="B85" s="272"/>
      <c r="C85" s="272"/>
      <c r="D85" s="25" t="s">
        <v>17</v>
      </c>
      <c r="E85" s="50" t="s">
        <v>34</v>
      </c>
      <c r="F85" s="55" t="s">
        <v>69</v>
      </c>
      <c r="G85" s="27" t="s">
        <v>55</v>
      </c>
      <c r="H85" s="27">
        <v>1</v>
      </c>
      <c r="I85" s="45">
        <v>2000</v>
      </c>
      <c r="J85" s="45">
        <v>2000</v>
      </c>
      <c r="K85" s="45">
        <v>0</v>
      </c>
      <c r="L85" s="45"/>
      <c r="M85" s="45"/>
      <c r="N85" s="45"/>
      <c r="O85" s="45">
        <v>0</v>
      </c>
      <c r="P85" s="118">
        <v>2000</v>
      </c>
      <c r="Q85" s="126">
        <v>78.77</v>
      </c>
      <c r="R85" s="32">
        <f t="shared" si="35"/>
        <v>78.77</v>
      </c>
      <c r="S85" s="60">
        <f t="shared" si="36"/>
        <v>1921.23</v>
      </c>
      <c r="T85" s="60"/>
      <c r="U85" s="32">
        <f t="shared" si="37"/>
        <v>1921.23</v>
      </c>
      <c r="V85" s="32"/>
      <c r="W85" s="126">
        <v>0</v>
      </c>
      <c r="X85" s="60">
        <v>1921.23</v>
      </c>
      <c r="Y85" s="60"/>
      <c r="Z85" s="32">
        <f t="shared" si="38"/>
        <v>0</v>
      </c>
      <c r="AA85" s="34" t="s">
        <v>136</v>
      </c>
      <c r="AB85" s="127"/>
    </row>
    <row r="86" spans="1:28" ht="15" customHeight="1" x14ac:dyDescent="0.35">
      <c r="A86" s="264"/>
      <c r="B86" s="272"/>
      <c r="C86" s="272"/>
      <c r="D86" s="25" t="s">
        <v>17</v>
      </c>
      <c r="E86" s="50" t="s">
        <v>34</v>
      </c>
      <c r="F86" s="55" t="s">
        <v>64</v>
      </c>
      <c r="G86" s="27" t="s">
        <v>86</v>
      </c>
      <c r="H86" s="27">
        <v>1</v>
      </c>
      <c r="I86" s="35">
        <v>195500</v>
      </c>
      <c r="J86" s="35">
        <v>195500</v>
      </c>
      <c r="K86" s="35">
        <v>0</v>
      </c>
      <c r="L86" s="35"/>
      <c r="M86" s="35"/>
      <c r="N86" s="35"/>
      <c r="O86" s="35">
        <v>70203.66</v>
      </c>
      <c r="P86" s="114">
        <v>125296.34</v>
      </c>
      <c r="Q86" s="126">
        <v>15116.539999999999</v>
      </c>
      <c r="R86" s="32">
        <f t="shared" si="35"/>
        <v>85320.2</v>
      </c>
      <c r="S86" s="60">
        <f t="shared" si="36"/>
        <v>39976.14</v>
      </c>
      <c r="T86" s="60">
        <f>P86-R86</f>
        <v>39976.14</v>
      </c>
      <c r="U86" s="32">
        <f t="shared" si="37"/>
        <v>110179.8</v>
      </c>
      <c r="V86" s="32"/>
      <c r="W86" s="126">
        <v>30500</v>
      </c>
      <c r="X86" s="60">
        <v>40000</v>
      </c>
      <c r="Y86" s="60">
        <v>49679.8</v>
      </c>
      <c r="Z86" s="32">
        <f t="shared" si="38"/>
        <v>-10000</v>
      </c>
      <c r="AA86" s="34" t="s">
        <v>137</v>
      </c>
      <c r="AB86" s="127" t="s">
        <v>558</v>
      </c>
    </row>
    <row r="87" spans="1:28" ht="15" customHeight="1" x14ac:dyDescent="0.35">
      <c r="A87" s="264"/>
      <c r="B87" s="272"/>
      <c r="C87" s="272"/>
      <c r="D87" s="25" t="s">
        <v>17</v>
      </c>
      <c r="E87" s="50" t="s">
        <v>34</v>
      </c>
      <c r="F87" s="55" t="s">
        <v>36</v>
      </c>
      <c r="G87" s="27" t="s">
        <v>37</v>
      </c>
      <c r="H87" s="27">
        <v>1</v>
      </c>
      <c r="I87" s="35">
        <v>2450</v>
      </c>
      <c r="J87" s="35">
        <v>2450</v>
      </c>
      <c r="K87" s="35">
        <v>0</v>
      </c>
      <c r="L87" s="35"/>
      <c r="M87" s="35"/>
      <c r="N87" s="35"/>
      <c r="O87" s="35">
        <v>0</v>
      </c>
      <c r="P87" s="114">
        <v>2450</v>
      </c>
      <c r="Q87" s="126">
        <v>0</v>
      </c>
      <c r="R87" s="32">
        <f t="shared" si="35"/>
        <v>0</v>
      </c>
      <c r="S87" s="60">
        <f t="shared" si="36"/>
        <v>2450</v>
      </c>
      <c r="T87" s="60"/>
      <c r="U87" s="32">
        <f t="shared" si="37"/>
        <v>2450</v>
      </c>
      <c r="V87" s="32"/>
      <c r="W87" s="126">
        <v>0</v>
      </c>
      <c r="X87" s="60">
        <v>2450</v>
      </c>
      <c r="Y87" s="60"/>
      <c r="Z87" s="32">
        <f t="shared" si="38"/>
        <v>0</v>
      </c>
      <c r="AA87" s="34" t="s">
        <v>138</v>
      </c>
      <c r="AB87" s="127" t="s">
        <v>559</v>
      </c>
    </row>
    <row r="88" spans="1:28" ht="15" customHeight="1" x14ac:dyDescent="0.35">
      <c r="A88" s="264"/>
      <c r="B88" s="272"/>
      <c r="C88" s="272"/>
      <c r="D88" s="25" t="s">
        <v>17</v>
      </c>
      <c r="E88" s="50" t="s">
        <v>34</v>
      </c>
      <c r="F88" s="55" t="s">
        <v>53</v>
      </c>
      <c r="G88" s="27" t="s">
        <v>62</v>
      </c>
      <c r="H88" s="27">
        <v>1</v>
      </c>
      <c r="I88" s="35">
        <v>5000</v>
      </c>
      <c r="J88" s="35">
        <v>5000</v>
      </c>
      <c r="K88" s="35">
        <v>0</v>
      </c>
      <c r="L88" s="35"/>
      <c r="M88" s="35"/>
      <c r="N88" s="35"/>
      <c r="O88" s="35">
        <v>0</v>
      </c>
      <c r="P88" s="114">
        <v>5000</v>
      </c>
      <c r="Q88" s="126">
        <v>1017.13</v>
      </c>
      <c r="R88" s="32">
        <f t="shared" si="35"/>
        <v>1017.13</v>
      </c>
      <c r="S88" s="60">
        <f t="shared" si="36"/>
        <v>3982.87</v>
      </c>
      <c r="T88" s="60"/>
      <c r="U88" s="32">
        <f t="shared" si="37"/>
        <v>3982.87</v>
      </c>
      <c r="V88" s="32"/>
      <c r="W88" s="126">
        <v>0</v>
      </c>
      <c r="X88" s="60">
        <v>3982.87</v>
      </c>
      <c r="Y88" s="60"/>
      <c r="Z88" s="32">
        <f t="shared" si="38"/>
        <v>0</v>
      </c>
      <c r="AA88" s="34" t="s">
        <v>139</v>
      </c>
      <c r="AB88" s="127"/>
    </row>
    <row r="89" spans="1:28" ht="15" customHeight="1" x14ac:dyDescent="0.35">
      <c r="A89" s="264"/>
      <c r="B89" s="272"/>
      <c r="C89" s="272"/>
      <c r="D89" s="25" t="s">
        <v>17</v>
      </c>
      <c r="E89" s="50" t="s">
        <v>34</v>
      </c>
      <c r="F89" s="55" t="s">
        <v>69</v>
      </c>
      <c r="G89" s="27" t="s">
        <v>37</v>
      </c>
      <c r="H89" s="27">
        <v>1</v>
      </c>
      <c r="I89" s="35">
        <v>5400</v>
      </c>
      <c r="J89" s="35">
        <v>5400</v>
      </c>
      <c r="K89" s="35">
        <v>0</v>
      </c>
      <c r="L89" s="35"/>
      <c r="M89" s="35"/>
      <c r="N89" s="35"/>
      <c r="O89" s="35">
        <v>0</v>
      </c>
      <c r="P89" s="114">
        <v>5400</v>
      </c>
      <c r="Q89" s="126">
        <v>3376.03</v>
      </c>
      <c r="R89" s="32">
        <f t="shared" si="35"/>
        <v>3376.03</v>
      </c>
      <c r="S89" s="60">
        <f t="shared" si="36"/>
        <v>2023.9699999999998</v>
      </c>
      <c r="T89" s="60"/>
      <c r="U89" s="32">
        <f t="shared" si="37"/>
        <v>2023.9699999999998</v>
      </c>
      <c r="V89" s="32"/>
      <c r="W89" s="126">
        <v>0</v>
      </c>
      <c r="X89" s="60">
        <v>2023.97</v>
      </c>
      <c r="Y89" s="60"/>
      <c r="Z89" s="32">
        <f t="shared" si="38"/>
        <v>0</v>
      </c>
      <c r="AA89" s="34" t="s">
        <v>140</v>
      </c>
      <c r="AB89" s="127"/>
    </row>
    <row r="90" spans="1:28" ht="15" customHeight="1" x14ac:dyDescent="0.35">
      <c r="A90" s="264"/>
      <c r="B90" s="272"/>
      <c r="C90" s="272"/>
      <c r="D90" s="25" t="s">
        <v>17</v>
      </c>
      <c r="E90" s="50" t="s">
        <v>34</v>
      </c>
      <c r="F90" s="55" t="s">
        <v>69</v>
      </c>
      <c r="G90" s="27" t="s">
        <v>37</v>
      </c>
      <c r="H90" s="27">
        <v>7</v>
      </c>
      <c r="I90" s="35">
        <v>3200</v>
      </c>
      <c r="J90" s="35">
        <v>22400</v>
      </c>
      <c r="K90" s="35">
        <v>0</v>
      </c>
      <c r="L90" s="35"/>
      <c r="M90" s="35"/>
      <c r="N90" s="35"/>
      <c r="O90" s="35">
        <v>0</v>
      </c>
      <c r="P90" s="114">
        <v>22400</v>
      </c>
      <c r="Q90" s="126">
        <v>798.71999999999991</v>
      </c>
      <c r="R90" s="32">
        <f t="shared" si="35"/>
        <v>798.71999999999991</v>
      </c>
      <c r="S90" s="60">
        <f t="shared" si="36"/>
        <v>21601.279999999999</v>
      </c>
      <c r="T90" s="60"/>
      <c r="U90" s="32">
        <f t="shared" si="37"/>
        <v>21601.279999999999</v>
      </c>
      <c r="V90" s="32"/>
      <c r="W90" s="126">
        <v>11200</v>
      </c>
      <c r="X90" s="60">
        <v>10401.280000000001</v>
      </c>
      <c r="Y90" s="60"/>
      <c r="Z90" s="32">
        <f t="shared" si="38"/>
        <v>0</v>
      </c>
      <c r="AA90" s="34" t="s">
        <v>141</v>
      </c>
      <c r="AB90" s="127"/>
    </row>
    <row r="91" spans="1:28" ht="15" customHeight="1" x14ac:dyDescent="0.35">
      <c r="A91" s="264"/>
      <c r="B91" s="272"/>
      <c r="C91" s="272"/>
      <c r="D91" s="25" t="s">
        <v>17</v>
      </c>
      <c r="E91" s="50" t="s">
        <v>34</v>
      </c>
      <c r="F91" s="55" t="s">
        <v>64</v>
      </c>
      <c r="G91" s="27" t="s">
        <v>86</v>
      </c>
      <c r="H91" s="27">
        <v>1</v>
      </c>
      <c r="I91" s="35">
        <v>200</v>
      </c>
      <c r="J91" s="35">
        <v>200</v>
      </c>
      <c r="K91" s="35">
        <v>0</v>
      </c>
      <c r="L91" s="35"/>
      <c r="M91" s="35"/>
      <c r="N91" s="35"/>
      <c r="O91" s="35">
        <v>0</v>
      </c>
      <c r="P91" s="114">
        <v>200</v>
      </c>
      <c r="Q91" s="126">
        <v>0</v>
      </c>
      <c r="R91" s="32">
        <f t="shared" si="35"/>
        <v>0</v>
      </c>
      <c r="S91" s="60">
        <f t="shared" si="36"/>
        <v>200</v>
      </c>
      <c r="T91" s="60"/>
      <c r="U91" s="32">
        <f t="shared" si="37"/>
        <v>200</v>
      </c>
      <c r="V91" s="32"/>
      <c r="W91" s="126">
        <v>0</v>
      </c>
      <c r="X91" s="60">
        <v>200</v>
      </c>
      <c r="Y91" s="60"/>
      <c r="Z91" s="32">
        <f t="shared" si="38"/>
        <v>0</v>
      </c>
      <c r="AA91" s="34" t="s">
        <v>142</v>
      </c>
      <c r="AB91" s="127"/>
    </row>
    <row r="92" spans="1:28" ht="15" customHeight="1" x14ac:dyDescent="0.35">
      <c r="A92" s="264"/>
      <c r="B92" s="272"/>
      <c r="C92" s="272"/>
      <c r="D92" s="25" t="s">
        <v>17</v>
      </c>
      <c r="E92" s="50" t="s">
        <v>34</v>
      </c>
      <c r="F92" s="55" t="s">
        <v>53</v>
      </c>
      <c r="G92" s="27" t="s">
        <v>86</v>
      </c>
      <c r="H92" s="27">
        <v>1</v>
      </c>
      <c r="I92" s="35">
        <v>1500</v>
      </c>
      <c r="J92" s="35">
        <v>1500</v>
      </c>
      <c r="K92" s="35">
        <v>0</v>
      </c>
      <c r="L92" s="35"/>
      <c r="M92" s="35"/>
      <c r="N92" s="35"/>
      <c r="O92" s="35">
        <v>0</v>
      </c>
      <c r="P92" s="114">
        <v>1500</v>
      </c>
      <c r="Q92" s="126">
        <v>0</v>
      </c>
      <c r="R92" s="32">
        <f t="shared" si="35"/>
        <v>0</v>
      </c>
      <c r="S92" s="60">
        <f t="shared" si="36"/>
        <v>1500</v>
      </c>
      <c r="T92" s="60"/>
      <c r="U92" s="32">
        <f t="shared" si="37"/>
        <v>1500</v>
      </c>
      <c r="V92" s="32"/>
      <c r="W92" s="126">
        <v>0</v>
      </c>
      <c r="X92" s="60">
        <v>800</v>
      </c>
      <c r="Y92" s="60">
        <v>700</v>
      </c>
      <c r="Z92" s="32">
        <f t="shared" si="38"/>
        <v>0</v>
      </c>
      <c r="AA92" s="34" t="s">
        <v>143</v>
      </c>
      <c r="AB92" s="234" t="s">
        <v>1085</v>
      </c>
    </row>
    <row r="93" spans="1:28" ht="15" customHeight="1" x14ac:dyDescent="0.35">
      <c r="A93" s="264"/>
      <c r="B93" s="272"/>
      <c r="C93" s="272"/>
      <c r="D93" s="25" t="s">
        <v>17</v>
      </c>
      <c r="E93" s="50" t="s">
        <v>34</v>
      </c>
      <c r="F93" s="55" t="s">
        <v>130</v>
      </c>
      <c r="G93" s="27" t="s">
        <v>40</v>
      </c>
      <c r="H93" s="27">
        <v>10</v>
      </c>
      <c r="I93" s="35">
        <v>1000</v>
      </c>
      <c r="J93" s="35">
        <v>10000</v>
      </c>
      <c r="K93" s="35">
        <v>0</v>
      </c>
      <c r="L93" s="35"/>
      <c r="M93" s="35"/>
      <c r="N93" s="35"/>
      <c r="O93" s="35">
        <v>0</v>
      </c>
      <c r="P93" s="114">
        <v>10000</v>
      </c>
      <c r="Q93" s="126">
        <v>1135.6400000000001</v>
      </c>
      <c r="R93" s="32">
        <f t="shared" si="35"/>
        <v>1135.6400000000001</v>
      </c>
      <c r="S93" s="60">
        <f t="shared" si="36"/>
        <v>8864.36</v>
      </c>
      <c r="T93" s="60"/>
      <c r="U93" s="32">
        <f t="shared" si="37"/>
        <v>8864.36</v>
      </c>
      <c r="V93" s="32"/>
      <c r="W93" s="126">
        <v>5000</v>
      </c>
      <c r="X93" s="60">
        <v>2000</v>
      </c>
      <c r="Y93" s="60">
        <v>1864.36</v>
      </c>
      <c r="Z93" s="32">
        <f t="shared" si="38"/>
        <v>0</v>
      </c>
      <c r="AA93" s="34" t="s">
        <v>144</v>
      </c>
      <c r="AB93" s="234" t="s">
        <v>1086</v>
      </c>
    </row>
    <row r="94" spans="1:28" ht="15" customHeight="1" x14ac:dyDescent="0.35">
      <c r="A94" s="264"/>
      <c r="B94" s="272"/>
      <c r="C94" s="39"/>
      <c r="D94" s="39"/>
      <c r="E94" s="53"/>
      <c r="F94" s="57"/>
      <c r="G94" s="41"/>
      <c r="H94" s="41"/>
      <c r="I94" s="42"/>
      <c r="J94" s="42">
        <f>SUM(J84:J93)</f>
        <v>273326</v>
      </c>
      <c r="K94" s="42">
        <f t="shared" ref="K94:Z94" si="39">SUM(K84:K93)</f>
        <v>0</v>
      </c>
      <c r="L94" s="42">
        <f t="shared" si="39"/>
        <v>0</v>
      </c>
      <c r="M94" s="42">
        <v>5014.1499999999996</v>
      </c>
      <c r="N94" s="42">
        <v>7171.34</v>
      </c>
      <c r="O94" s="42">
        <v>76834.61</v>
      </c>
      <c r="P94" s="42">
        <f t="shared" si="39"/>
        <v>184305.9</v>
      </c>
      <c r="Q94" s="42">
        <f t="shared" si="39"/>
        <v>22974.85</v>
      </c>
      <c r="R94" s="42">
        <f t="shared" si="39"/>
        <v>111994.95</v>
      </c>
      <c r="S94" s="42">
        <f t="shared" si="39"/>
        <v>72310.95</v>
      </c>
      <c r="T94" s="42">
        <f t="shared" si="39"/>
        <v>29767.239999999994</v>
      </c>
      <c r="U94" s="42">
        <f t="shared" si="39"/>
        <v>161331.04999999999</v>
      </c>
      <c r="V94" s="42">
        <f t="shared" si="39"/>
        <v>0</v>
      </c>
      <c r="W94" s="42">
        <f t="shared" si="39"/>
        <v>46700</v>
      </c>
      <c r="X94" s="42">
        <f t="shared" si="39"/>
        <v>72386.890000000014</v>
      </c>
      <c r="Y94" s="42">
        <f t="shared" si="39"/>
        <v>52244.160000000003</v>
      </c>
      <c r="Z94" s="42">
        <f t="shared" si="39"/>
        <v>-10000</v>
      </c>
      <c r="AA94" s="49">
        <f>Y94+X94</f>
        <v>124631.05000000002</v>
      </c>
      <c r="AB94" s="125" t="s">
        <v>2</v>
      </c>
    </row>
    <row r="95" spans="1:28" ht="15" customHeight="1" x14ac:dyDescent="0.35">
      <c r="A95" s="264"/>
      <c r="B95" s="272"/>
      <c r="C95" s="272" t="s">
        <v>145</v>
      </c>
      <c r="D95" s="25" t="s">
        <v>17</v>
      </c>
      <c r="E95" s="50" t="s">
        <v>34</v>
      </c>
      <c r="F95" s="55" t="s">
        <v>28</v>
      </c>
      <c r="G95" s="27" t="s">
        <v>44</v>
      </c>
      <c r="H95" s="27">
        <v>0.25</v>
      </c>
      <c r="I95" s="35">
        <v>38000</v>
      </c>
      <c r="J95" s="35">
        <v>28875</v>
      </c>
      <c r="K95" s="35">
        <v>0</v>
      </c>
      <c r="L95" s="35"/>
      <c r="M95" s="35">
        <v>5014.1499999999996</v>
      </c>
      <c r="N95" s="35">
        <v>7171.36</v>
      </c>
      <c r="O95" s="35">
        <v>6630.95</v>
      </c>
      <c r="P95" s="114">
        <v>10058.540000000001</v>
      </c>
      <c r="Q95" s="126">
        <v>1452.02</v>
      </c>
      <c r="R95" s="32">
        <f t="shared" ref="R95:R104" si="40">L95+M95+N95+O95+Q95</f>
        <v>20268.48</v>
      </c>
      <c r="S95" s="60">
        <f t="shared" ref="S95:S104" si="41">P95-R95</f>
        <v>-10209.939999999999</v>
      </c>
      <c r="T95" s="60" t="e">
        <f>P95-#REF!</f>
        <v>#REF!</v>
      </c>
      <c r="U95" s="32">
        <f t="shared" ref="U95:U104" si="42">P95-Q95</f>
        <v>8606.52</v>
      </c>
      <c r="V95" s="32"/>
      <c r="W95" s="126">
        <v>0</v>
      </c>
      <c r="X95" s="60"/>
      <c r="Y95" s="60"/>
      <c r="Z95" s="32">
        <f t="shared" ref="Z95:Z104" si="43">U95-(W95+X95+Y95)</f>
        <v>8606.52</v>
      </c>
      <c r="AA95" s="34" t="s">
        <v>146</v>
      </c>
      <c r="AB95" s="127" t="s">
        <v>557</v>
      </c>
    </row>
    <row r="96" spans="1:28" ht="15" customHeight="1" x14ac:dyDescent="0.35">
      <c r="A96" s="264"/>
      <c r="B96" s="272"/>
      <c r="C96" s="272"/>
      <c r="D96" s="25" t="s">
        <v>17</v>
      </c>
      <c r="E96" s="50" t="s">
        <v>34</v>
      </c>
      <c r="F96" s="55" t="s">
        <v>64</v>
      </c>
      <c r="G96" s="27" t="s">
        <v>86</v>
      </c>
      <c r="H96" s="27">
        <v>1</v>
      </c>
      <c r="I96" s="45">
        <v>388000</v>
      </c>
      <c r="J96" s="45">
        <v>388000</v>
      </c>
      <c r="K96" s="45">
        <v>0</v>
      </c>
      <c r="L96" s="45"/>
      <c r="M96" s="45"/>
      <c r="N96" s="45"/>
      <c r="O96" s="45">
        <v>0</v>
      </c>
      <c r="P96" s="118">
        <v>388000</v>
      </c>
      <c r="Q96" s="126">
        <v>0</v>
      </c>
      <c r="R96" s="32">
        <f t="shared" si="40"/>
        <v>0</v>
      </c>
      <c r="S96" s="60">
        <f t="shared" si="41"/>
        <v>388000</v>
      </c>
      <c r="T96" s="60"/>
      <c r="U96" s="32">
        <f t="shared" si="42"/>
        <v>388000</v>
      </c>
      <c r="V96" s="32">
        <v>292163.46999999997</v>
      </c>
      <c r="W96" s="126">
        <f>486940-V96</f>
        <v>194776.53000000003</v>
      </c>
      <c r="X96" s="60"/>
      <c r="Y96" s="60"/>
      <c r="Z96" s="32">
        <f t="shared" si="43"/>
        <v>193223.46999999997</v>
      </c>
      <c r="AA96" s="34" t="s">
        <v>147</v>
      </c>
      <c r="AB96" s="127" t="s">
        <v>560</v>
      </c>
    </row>
    <row r="97" spans="1:28" ht="15" customHeight="1" x14ac:dyDescent="0.35">
      <c r="A97" s="264"/>
      <c r="B97" s="272"/>
      <c r="C97" s="272"/>
      <c r="D97" s="25" t="s">
        <v>17</v>
      </c>
      <c r="E97" s="50" t="s">
        <v>34</v>
      </c>
      <c r="F97" s="55" t="s">
        <v>148</v>
      </c>
      <c r="G97" s="27" t="s">
        <v>86</v>
      </c>
      <c r="H97" s="27">
        <v>64</v>
      </c>
      <c r="I97" s="45">
        <v>255</v>
      </c>
      <c r="J97" s="45">
        <v>16320</v>
      </c>
      <c r="K97" s="45">
        <v>0</v>
      </c>
      <c r="L97" s="45"/>
      <c r="M97" s="45"/>
      <c r="N97" s="45"/>
      <c r="O97" s="45">
        <v>0</v>
      </c>
      <c r="P97" s="118">
        <v>16320</v>
      </c>
      <c r="Q97" s="126">
        <v>0</v>
      </c>
      <c r="R97" s="32">
        <f t="shared" si="40"/>
        <v>0</v>
      </c>
      <c r="S97" s="60">
        <f t="shared" si="41"/>
        <v>16320</v>
      </c>
      <c r="T97" s="60"/>
      <c r="U97" s="32">
        <f t="shared" si="42"/>
        <v>16320</v>
      </c>
      <c r="V97" s="126">
        <v>16320</v>
      </c>
      <c r="W97" s="126"/>
      <c r="X97" s="60"/>
      <c r="Y97" s="60"/>
      <c r="Z97" s="32">
        <f>U97-(W97+X97+Y97)</f>
        <v>16320</v>
      </c>
      <c r="AA97" s="34" t="s">
        <v>149</v>
      </c>
      <c r="AB97" s="234" t="s">
        <v>1090</v>
      </c>
    </row>
    <row r="98" spans="1:28" ht="15" customHeight="1" x14ac:dyDescent="0.35">
      <c r="A98" s="264"/>
      <c r="B98" s="272"/>
      <c r="C98" s="272"/>
      <c r="D98" s="25" t="s">
        <v>17</v>
      </c>
      <c r="E98" s="50" t="s">
        <v>34</v>
      </c>
      <c r="F98" s="55" t="s">
        <v>69</v>
      </c>
      <c r="G98" s="27" t="s">
        <v>55</v>
      </c>
      <c r="H98" s="27">
        <v>8</v>
      </c>
      <c r="I98" s="45">
        <v>2000</v>
      </c>
      <c r="J98" s="45">
        <v>16000</v>
      </c>
      <c r="K98" s="45">
        <v>0</v>
      </c>
      <c r="L98" s="45"/>
      <c r="M98" s="45"/>
      <c r="N98" s="45"/>
      <c r="O98" s="45">
        <v>0</v>
      </c>
      <c r="P98" s="118">
        <v>16000</v>
      </c>
      <c r="Q98" s="126">
        <v>11765.24</v>
      </c>
      <c r="R98" s="32">
        <f t="shared" si="40"/>
        <v>11765.24</v>
      </c>
      <c r="S98" s="60">
        <f t="shared" si="41"/>
        <v>4234.76</v>
      </c>
      <c r="T98" s="60"/>
      <c r="U98" s="32">
        <f t="shared" si="42"/>
        <v>4234.76</v>
      </c>
      <c r="V98" s="126">
        <v>8000</v>
      </c>
      <c r="W98" s="126"/>
      <c r="X98" s="60">
        <v>8000</v>
      </c>
      <c r="Y98" s="60">
        <v>8000</v>
      </c>
      <c r="Z98" s="32">
        <f>U98-(W98+X98+Y98)</f>
        <v>-11765.24</v>
      </c>
      <c r="AA98" s="34" t="s">
        <v>150</v>
      </c>
      <c r="AB98" s="234" t="s">
        <v>1087</v>
      </c>
    </row>
    <row r="99" spans="1:28" ht="15" customHeight="1" x14ac:dyDescent="0.35">
      <c r="A99" s="264"/>
      <c r="B99" s="272"/>
      <c r="C99" s="272"/>
      <c r="D99" s="25" t="s">
        <v>17</v>
      </c>
      <c r="E99" s="50" t="s">
        <v>34</v>
      </c>
      <c r="F99" s="55" t="s">
        <v>69</v>
      </c>
      <c r="G99" s="27" t="s">
        <v>55</v>
      </c>
      <c r="H99" s="27">
        <v>16</v>
      </c>
      <c r="I99" s="35">
        <v>5400</v>
      </c>
      <c r="J99" s="35">
        <v>86400</v>
      </c>
      <c r="K99" s="35">
        <v>0</v>
      </c>
      <c r="L99" s="35"/>
      <c r="M99" s="35"/>
      <c r="N99" s="35"/>
      <c r="O99" s="35">
        <v>0</v>
      </c>
      <c r="P99" s="114">
        <v>86400</v>
      </c>
      <c r="Q99" s="126">
        <v>0</v>
      </c>
      <c r="R99" s="32">
        <f t="shared" si="40"/>
        <v>0</v>
      </c>
      <c r="S99" s="60">
        <f t="shared" si="41"/>
        <v>86400</v>
      </c>
      <c r="T99" s="60"/>
      <c r="U99" s="32">
        <f t="shared" si="42"/>
        <v>86400</v>
      </c>
      <c r="V99" s="126">
        <v>86400</v>
      </c>
      <c r="W99" s="126"/>
      <c r="X99" s="60">
        <v>20000</v>
      </c>
      <c r="Y99" s="60">
        <v>20000</v>
      </c>
      <c r="Z99" s="32">
        <f>U99-(W99+X99+Y99)</f>
        <v>46400</v>
      </c>
      <c r="AA99" s="34" t="s">
        <v>151</v>
      </c>
      <c r="AB99" s="234" t="s">
        <v>1087</v>
      </c>
    </row>
    <row r="100" spans="1:28" ht="15" customHeight="1" x14ac:dyDescent="0.35">
      <c r="A100" s="264"/>
      <c r="B100" s="272"/>
      <c r="C100" s="272"/>
      <c r="D100" s="25" t="s">
        <v>17</v>
      </c>
      <c r="E100" s="50" t="s">
        <v>34</v>
      </c>
      <c r="F100" s="55" t="s">
        <v>69</v>
      </c>
      <c r="G100" s="27" t="s">
        <v>55</v>
      </c>
      <c r="H100" s="27">
        <v>48</v>
      </c>
      <c r="I100" s="35">
        <v>2200</v>
      </c>
      <c r="J100" s="35">
        <v>105600</v>
      </c>
      <c r="K100" s="35">
        <v>0</v>
      </c>
      <c r="L100" s="35"/>
      <c r="M100" s="35"/>
      <c r="N100" s="35"/>
      <c r="O100" s="35">
        <v>0</v>
      </c>
      <c r="P100" s="114">
        <v>105600</v>
      </c>
      <c r="Q100" s="126">
        <v>798.71999999999991</v>
      </c>
      <c r="R100" s="32">
        <f t="shared" si="40"/>
        <v>798.71999999999991</v>
      </c>
      <c r="S100" s="60">
        <f t="shared" si="41"/>
        <v>104801.28</v>
      </c>
      <c r="T100" s="60"/>
      <c r="U100" s="32">
        <f t="shared" si="42"/>
        <v>104801.28</v>
      </c>
      <c r="V100" s="126">
        <v>0</v>
      </c>
      <c r="W100" s="126"/>
      <c r="X100" s="60">
        <v>20000</v>
      </c>
      <c r="Y100" s="60">
        <v>20000</v>
      </c>
      <c r="Z100" s="32">
        <f>U100-(W100+X100+Y100)</f>
        <v>64801.279999999999</v>
      </c>
      <c r="AA100" s="34" t="s">
        <v>152</v>
      </c>
      <c r="AB100" s="127" t="s">
        <v>561</v>
      </c>
    </row>
    <row r="101" spans="1:28" ht="15" customHeight="1" x14ac:dyDescent="0.35">
      <c r="A101" s="264"/>
      <c r="B101" s="272"/>
      <c r="C101" s="272"/>
      <c r="D101" s="25" t="s">
        <v>17</v>
      </c>
      <c r="E101" s="50" t="s">
        <v>34</v>
      </c>
      <c r="F101" s="55" t="s">
        <v>53</v>
      </c>
      <c r="G101" s="27" t="s">
        <v>86</v>
      </c>
      <c r="H101" s="27">
        <v>16</v>
      </c>
      <c r="I101" s="35">
        <v>3500</v>
      </c>
      <c r="J101" s="35">
        <v>56000</v>
      </c>
      <c r="K101" s="35">
        <v>0</v>
      </c>
      <c r="L101" s="35"/>
      <c r="M101" s="35"/>
      <c r="N101" s="35"/>
      <c r="O101" s="35">
        <v>0</v>
      </c>
      <c r="P101" s="114">
        <v>56000</v>
      </c>
      <c r="Q101" s="126">
        <v>4189.47</v>
      </c>
      <c r="R101" s="32">
        <f t="shared" si="40"/>
        <v>4189.47</v>
      </c>
      <c r="S101" s="60">
        <f t="shared" si="41"/>
        <v>51810.53</v>
      </c>
      <c r="T101" s="60"/>
      <c r="U101" s="32">
        <f t="shared" si="42"/>
        <v>51810.53</v>
      </c>
      <c r="V101" s="126">
        <v>36000</v>
      </c>
      <c r="W101" s="126"/>
      <c r="X101" s="60"/>
      <c r="Y101" s="60"/>
      <c r="Z101" s="32">
        <f>U101-(W101+X101+Y101)</f>
        <v>51810.53</v>
      </c>
      <c r="AA101" s="34" t="s">
        <v>153</v>
      </c>
      <c r="AB101" s="234" t="s">
        <v>1089</v>
      </c>
    </row>
    <row r="102" spans="1:28" ht="15" customHeight="1" x14ac:dyDescent="0.35">
      <c r="A102" s="264"/>
      <c r="B102" s="272"/>
      <c r="C102" s="272"/>
      <c r="D102" s="25" t="s">
        <v>17</v>
      </c>
      <c r="E102" s="50" t="s">
        <v>34</v>
      </c>
      <c r="F102" s="55" t="s">
        <v>154</v>
      </c>
      <c r="G102" s="27" t="s">
        <v>155</v>
      </c>
      <c r="H102" s="27">
        <v>16</v>
      </c>
      <c r="I102" s="35">
        <v>450</v>
      </c>
      <c r="J102" s="35">
        <v>7200</v>
      </c>
      <c r="K102" s="35">
        <v>0</v>
      </c>
      <c r="L102" s="35"/>
      <c r="M102" s="35"/>
      <c r="N102" s="35"/>
      <c r="O102" s="35">
        <v>0</v>
      </c>
      <c r="P102" s="114">
        <v>7200</v>
      </c>
      <c r="Q102" s="126">
        <v>4542.5600000000004</v>
      </c>
      <c r="R102" s="32">
        <f t="shared" si="40"/>
        <v>4542.5600000000004</v>
      </c>
      <c r="S102" s="60">
        <f t="shared" si="41"/>
        <v>2657.4399999999996</v>
      </c>
      <c r="T102" s="60"/>
      <c r="U102" s="32">
        <f t="shared" si="42"/>
        <v>2657.4399999999996</v>
      </c>
      <c r="V102" s="32"/>
      <c r="W102" s="126"/>
      <c r="X102" s="60"/>
      <c r="Y102" s="60"/>
      <c r="Z102" s="32">
        <f t="shared" si="43"/>
        <v>2657.4399999999996</v>
      </c>
      <c r="AA102" s="34" t="s">
        <v>156</v>
      </c>
      <c r="AB102" s="234" t="s">
        <v>1087</v>
      </c>
    </row>
    <row r="103" spans="1:28" ht="15" customHeight="1" x14ac:dyDescent="0.35">
      <c r="A103" s="264"/>
      <c r="B103" s="272"/>
      <c r="C103" s="272"/>
      <c r="D103" s="25" t="s">
        <v>17</v>
      </c>
      <c r="E103" s="50" t="s">
        <v>34</v>
      </c>
      <c r="F103" s="55" t="s">
        <v>123</v>
      </c>
      <c r="G103" s="27" t="s">
        <v>155</v>
      </c>
      <c r="H103" s="27">
        <v>16</v>
      </c>
      <c r="I103" s="35">
        <v>2000</v>
      </c>
      <c r="J103" s="35">
        <v>32000</v>
      </c>
      <c r="K103" s="35">
        <v>0</v>
      </c>
      <c r="L103" s="35"/>
      <c r="M103" s="35"/>
      <c r="N103" s="35"/>
      <c r="O103" s="35">
        <v>0</v>
      </c>
      <c r="P103" s="114">
        <v>32000</v>
      </c>
      <c r="Q103" s="126">
        <v>5343.87</v>
      </c>
      <c r="R103" s="32">
        <f t="shared" si="40"/>
        <v>5343.87</v>
      </c>
      <c r="S103" s="60">
        <f t="shared" si="41"/>
        <v>26656.13</v>
      </c>
      <c r="T103" s="60"/>
      <c r="U103" s="32">
        <f t="shared" si="42"/>
        <v>26656.13</v>
      </c>
      <c r="V103" s="32"/>
      <c r="W103" s="126">
        <v>0</v>
      </c>
      <c r="X103" s="60"/>
      <c r="Y103" s="60"/>
      <c r="Z103" s="32">
        <f t="shared" si="43"/>
        <v>26656.13</v>
      </c>
      <c r="AA103" s="34" t="s">
        <v>157</v>
      </c>
      <c r="AB103" s="234" t="s">
        <v>1087</v>
      </c>
    </row>
    <row r="104" spans="1:28" ht="15" customHeight="1" x14ac:dyDescent="0.35">
      <c r="A104" s="264"/>
      <c r="B104" s="272"/>
      <c r="C104" s="272"/>
      <c r="D104" s="25" t="s">
        <v>17</v>
      </c>
      <c r="E104" s="50" t="s">
        <v>34</v>
      </c>
      <c r="F104" s="55" t="s">
        <v>130</v>
      </c>
      <c r="G104" s="27" t="s">
        <v>40</v>
      </c>
      <c r="H104" s="27">
        <v>16</v>
      </c>
      <c r="I104" s="35">
        <v>1000</v>
      </c>
      <c r="J104" s="35">
        <v>16000</v>
      </c>
      <c r="K104" s="35">
        <v>0</v>
      </c>
      <c r="L104" s="35"/>
      <c r="M104" s="35"/>
      <c r="N104" s="35"/>
      <c r="O104" s="35">
        <v>0</v>
      </c>
      <c r="P104" s="114">
        <v>16000</v>
      </c>
      <c r="Q104" s="126">
        <v>145.36000000000001</v>
      </c>
      <c r="R104" s="32">
        <f t="shared" si="40"/>
        <v>145.36000000000001</v>
      </c>
      <c r="S104" s="60">
        <f t="shared" si="41"/>
        <v>15854.64</v>
      </c>
      <c r="T104" s="60"/>
      <c r="U104" s="32">
        <f t="shared" si="42"/>
        <v>15854.64</v>
      </c>
      <c r="V104" s="32"/>
      <c r="W104" s="126">
        <v>0</v>
      </c>
      <c r="X104" s="60"/>
      <c r="Y104" s="60"/>
      <c r="Z104" s="32">
        <f t="shared" si="43"/>
        <v>15854.64</v>
      </c>
      <c r="AA104" s="34" t="s">
        <v>158</v>
      </c>
      <c r="AB104" s="234" t="s">
        <v>1087</v>
      </c>
    </row>
    <row r="105" spans="1:28" ht="15" customHeight="1" x14ac:dyDescent="0.35">
      <c r="A105" s="264"/>
      <c r="B105" s="272"/>
      <c r="C105" s="39"/>
      <c r="D105" s="39"/>
      <c r="E105" s="53"/>
      <c r="F105" s="57"/>
      <c r="G105" s="41"/>
      <c r="H105" s="41"/>
      <c r="I105" s="42"/>
      <c r="J105" s="42">
        <f>SUM(J95:J104)</f>
        <v>752395</v>
      </c>
      <c r="K105" s="42">
        <f t="shared" ref="K105:L105" si="44">SUM(K95:K104)</f>
        <v>0</v>
      </c>
      <c r="L105" s="42">
        <f t="shared" si="44"/>
        <v>0</v>
      </c>
      <c r="M105" s="42">
        <v>5014.1499999999996</v>
      </c>
      <c r="N105" s="42">
        <v>7171.36</v>
      </c>
      <c r="O105" s="42">
        <v>6630.95</v>
      </c>
      <c r="P105" s="42">
        <f>SUM(P95:P104)</f>
        <v>733578.54</v>
      </c>
      <c r="Q105" s="42">
        <f t="shared" ref="Q105:Z105" si="45">SUM(Q95:Q104)</f>
        <v>28237.24</v>
      </c>
      <c r="R105" s="42">
        <f t="shared" si="45"/>
        <v>47053.700000000004</v>
      </c>
      <c r="S105" s="42">
        <f t="shared" si="45"/>
        <v>686524.84</v>
      </c>
      <c r="T105" s="42" t="e">
        <f t="shared" si="45"/>
        <v>#REF!</v>
      </c>
      <c r="U105" s="42">
        <f t="shared" si="45"/>
        <v>705341.3</v>
      </c>
      <c r="V105" s="42">
        <f t="shared" si="45"/>
        <v>438883.47</v>
      </c>
      <c r="W105" s="42">
        <f t="shared" si="45"/>
        <v>194776.53000000003</v>
      </c>
      <c r="X105" s="42">
        <f t="shared" si="45"/>
        <v>48000</v>
      </c>
      <c r="Y105" s="42">
        <f t="shared" si="45"/>
        <v>48000</v>
      </c>
      <c r="Z105" s="42">
        <f t="shared" si="45"/>
        <v>414564.76999999996</v>
      </c>
      <c r="AA105" s="49">
        <f>U104+U103+U102+U101+U100+U98</f>
        <v>206014.78000000003</v>
      </c>
      <c r="AB105" s="125" t="s">
        <v>1088</v>
      </c>
    </row>
    <row r="106" spans="1:28" ht="15" customHeight="1" x14ac:dyDescent="0.35">
      <c r="A106" s="264"/>
      <c r="B106" s="272"/>
      <c r="C106" s="272" t="s">
        <v>159</v>
      </c>
      <c r="D106" s="25" t="s">
        <v>17</v>
      </c>
      <c r="E106" s="50" t="s">
        <v>34</v>
      </c>
      <c r="F106" s="55" t="s">
        <v>28</v>
      </c>
      <c r="G106" s="27" t="s">
        <v>44</v>
      </c>
      <c r="H106" s="27">
        <v>0.25</v>
      </c>
      <c r="I106" s="35">
        <v>38000</v>
      </c>
      <c r="J106" s="35">
        <v>28597</v>
      </c>
      <c r="K106" s="35">
        <v>0</v>
      </c>
      <c r="L106" s="35">
        <v>0</v>
      </c>
      <c r="M106" s="35"/>
      <c r="N106" s="35"/>
      <c r="O106" s="35">
        <v>0</v>
      </c>
      <c r="P106" s="114">
        <v>28597</v>
      </c>
      <c r="Q106" s="126">
        <v>0</v>
      </c>
      <c r="R106" s="32">
        <f t="shared" ref="R106:R109" si="46">L106+M106+N106+O106+Q106</f>
        <v>0</v>
      </c>
      <c r="S106" s="60">
        <f>P106-R106</f>
        <v>28597</v>
      </c>
      <c r="T106" s="60"/>
      <c r="U106" s="32">
        <f t="shared" ref="U106:U109" si="47">P106-Q106</f>
        <v>28597</v>
      </c>
      <c r="V106" s="32"/>
      <c r="W106" s="126"/>
      <c r="X106" s="60">
        <v>28000</v>
      </c>
      <c r="Y106" s="60">
        <v>28000</v>
      </c>
      <c r="Z106" s="32">
        <f t="shared" ref="Z106:Z109" si="48">U106-(W106+X106+Y106)</f>
        <v>-27403</v>
      </c>
      <c r="AA106" s="34" t="s">
        <v>160</v>
      </c>
      <c r="AB106" s="127" t="s">
        <v>1092</v>
      </c>
    </row>
    <row r="107" spans="1:28" ht="15" customHeight="1" x14ac:dyDescent="0.35">
      <c r="A107" s="264"/>
      <c r="B107" s="272"/>
      <c r="C107" s="272"/>
      <c r="D107" s="25" t="s">
        <v>17</v>
      </c>
      <c r="E107" s="50" t="s">
        <v>161</v>
      </c>
      <c r="F107" s="55" t="s">
        <v>57</v>
      </c>
      <c r="G107" s="27" t="s">
        <v>58</v>
      </c>
      <c r="H107" s="27">
        <v>60</v>
      </c>
      <c r="I107" s="45">
        <v>850</v>
      </c>
      <c r="J107" s="45">
        <v>51000</v>
      </c>
      <c r="K107" s="45">
        <v>0</v>
      </c>
      <c r="L107" s="45"/>
      <c r="M107" s="45"/>
      <c r="N107" s="45">
        <v>38980</v>
      </c>
      <c r="O107" s="45">
        <v>0</v>
      </c>
      <c r="P107" s="118">
        <v>12020</v>
      </c>
      <c r="Q107" s="126">
        <v>7702.32</v>
      </c>
      <c r="R107" s="32">
        <f t="shared" si="46"/>
        <v>46682.32</v>
      </c>
      <c r="S107" s="60">
        <f>P107-R107</f>
        <v>-34662.32</v>
      </c>
      <c r="T107" s="60"/>
      <c r="U107" s="32">
        <f t="shared" si="47"/>
        <v>4317.68</v>
      </c>
      <c r="V107" s="32"/>
      <c r="W107" s="126">
        <v>0</v>
      </c>
      <c r="X107" s="60"/>
      <c r="Y107" s="60"/>
      <c r="Z107" s="32">
        <f t="shared" si="48"/>
        <v>4317.68</v>
      </c>
      <c r="AA107" s="34" t="s">
        <v>162</v>
      </c>
      <c r="AB107" s="127" t="s">
        <v>1093</v>
      </c>
    </row>
    <row r="108" spans="1:28" ht="15" customHeight="1" x14ac:dyDescent="0.35">
      <c r="A108" s="264"/>
      <c r="B108" s="272"/>
      <c r="C108" s="272"/>
      <c r="D108" s="25" t="s">
        <v>17</v>
      </c>
      <c r="E108" s="50" t="s">
        <v>161</v>
      </c>
      <c r="F108" s="55" t="s">
        <v>36</v>
      </c>
      <c r="G108" s="27" t="s">
        <v>55</v>
      </c>
      <c r="H108" s="27">
        <v>1</v>
      </c>
      <c r="I108" s="45">
        <v>3750</v>
      </c>
      <c r="J108" s="45">
        <v>3750</v>
      </c>
      <c r="K108" s="45">
        <v>0</v>
      </c>
      <c r="L108" s="45"/>
      <c r="M108" s="45"/>
      <c r="N108" s="45"/>
      <c r="O108" s="45">
        <v>0</v>
      </c>
      <c r="P108" s="118">
        <v>3750</v>
      </c>
      <c r="Q108" s="126">
        <v>0</v>
      </c>
      <c r="R108" s="32">
        <f t="shared" si="46"/>
        <v>0</v>
      </c>
      <c r="S108" s="60">
        <f>P108-R108</f>
        <v>3750</v>
      </c>
      <c r="T108" s="60"/>
      <c r="U108" s="32">
        <f t="shared" si="47"/>
        <v>3750</v>
      </c>
      <c r="V108" s="32"/>
      <c r="W108" s="126">
        <v>0</v>
      </c>
      <c r="X108" s="60">
        <v>3750</v>
      </c>
      <c r="Y108" s="60"/>
      <c r="Z108" s="32">
        <f t="shared" si="48"/>
        <v>0</v>
      </c>
      <c r="AA108" s="34" t="s">
        <v>163</v>
      </c>
      <c r="AB108" s="127" t="s">
        <v>1094</v>
      </c>
    </row>
    <row r="109" spans="1:28" ht="15" customHeight="1" x14ac:dyDescent="0.35">
      <c r="A109" s="264"/>
      <c r="B109" s="272"/>
      <c r="C109" s="272"/>
      <c r="D109" s="25" t="s">
        <v>17</v>
      </c>
      <c r="E109" s="50" t="s">
        <v>161</v>
      </c>
      <c r="F109" s="55" t="s">
        <v>64</v>
      </c>
      <c r="G109" s="27" t="s">
        <v>86</v>
      </c>
      <c r="H109" s="27">
        <v>1</v>
      </c>
      <c r="I109" s="35">
        <v>3300000</v>
      </c>
      <c r="J109" s="35">
        <v>2025000</v>
      </c>
      <c r="K109" s="35">
        <v>0</v>
      </c>
      <c r="L109" s="35"/>
      <c r="M109" s="35"/>
      <c r="N109" s="35"/>
      <c r="O109" s="35">
        <v>0</v>
      </c>
      <c r="P109" s="114">
        <v>2025000</v>
      </c>
      <c r="Q109" s="126">
        <v>0</v>
      </c>
      <c r="R109" s="32">
        <f t="shared" si="46"/>
        <v>0</v>
      </c>
      <c r="S109" s="60">
        <f>P109-R109</f>
        <v>2025000</v>
      </c>
      <c r="T109" s="60"/>
      <c r="U109" s="32">
        <f t="shared" si="47"/>
        <v>2025000</v>
      </c>
      <c r="V109" s="32"/>
      <c r="W109" s="126"/>
      <c r="X109" s="60">
        <v>1500000</v>
      </c>
      <c r="Y109" s="60">
        <f>627380-122380</f>
        <v>505000</v>
      </c>
      <c r="Z109" s="32">
        <f t="shared" si="48"/>
        <v>20000</v>
      </c>
      <c r="AA109" s="34" t="s">
        <v>164</v>
      </c>
      <c r="AB109" s="234" t="s">
        <v>1091</v>
      </c>
    </row>
    <row r="110" spans="1:28" ht="15" customHeight="1" x14ac:dyDescent="0.35">
      <c r="A110" s="264"/>
      <c r="B110" s="272"/>
      <c r="C110" s="39"/>
      <c r="D110" s="39"/>
      <c r="E110" s="53"/>
      <c r="F110" s="57"/>
      <c r="G110" s="41"/>
      <c r="H110" s="41"/>
      <c r="I110" s="42"/>
      <c r="J110" s="42">
        <f>SUM(J106:J109)</f>
        <v>2108347</v>
      </c>
      <c r="K110" s="42">
        <f t="shared" ref="K110:Z110" si="49">SUM(K106:K109)</f>
        <v>0</v>
      </c>
      <c r="L110" s="42">
        <f t="shared" si="49"/>
        <v>0</v>
      </c>
      <c r="M110" s="42">
        <v>0</v>
      </c>
      <c r="N110" s="42">
        <v>38980</v>
      </c>
      <c r="O110" s="42">
        <v>0</v>
      </c>
      <c r="P110" s="42">
        <f t="shared" si="49"/>
        <v>2069367</v>
      </c>
      <c r="Q110" s="42">
        <f t="shared" si="49"/>
        <v>7702.32</v>
      </c>
      <c r="R110" s="42">
        <f t="shared" si="49"/>
        <v>46682.32</v>
      </c>
      <c r="S110" s="42">
        <f t="shared" si="49"/>
        <v>2022684.68</v>
      </c>
      <c r="T110" s="42">
        <f t="shared" si="49"/>
        <v>0</v>
      </c>
      <c r="U110" s="42">
        <f t="shared" si="49"/>
        <v>2061664.68</v>
      </c>
      <c r="V110" s="42">
        <f t="shared" si="49"/>
        <v>0</v>
      </c>
      <c r="W110" s="42">
        <f t="shared" ref="W110" si="50">SUM(W106:W109)</f>
        <v>0</v>
      </c>
      <c r="X110" s="42">
        <f t="shared" si="49"/>
        <v>1531750</v>
      </c>
      <c r="Y110" s="42">
        <f t="shared" si="49"/>
        <v>533000</v>
      </c>
      <c r="Z110" s="42">
        <f t="shared" si="49"/>
        <v>-3085.3199999999997</v>
      </c>
      <c r="AA110" s="49"/>
      <c r="AB110" s="128"/>
    </row>
    <row r="111" spans="1:28" ht="15" customHeight="1" x14ac:dyDescent="0.35">
      <c r="A111" s="264"/>
      <c r="B111" s="272"/>
      <c r="C111" s="272" t="s">
        <v>165</v>
      </c>
      <c r="D111" s="25" t="s">
        <v>17</v>
      </c>
      <c r="E111" s="50" t="s">
        <v>27</v>
      </c>
      <c r="F111" s="55" t="s">
        <v>28</v>
      </c>
      <c r="G111" s="27" t="s">
        <v>29</v>
      </c>
      <c r="H111" s="27">
        <v>6</v>
      </c>
      <c r="I111" s="45">
        <v>5083.3333000000002</v>
      </c>
      <c r="J111" s="45">
        <v>30499.999800000001</v>
      </c>
      <c r="K111" s="45">
        <v>0</v>
      </c>
      <c r="L111" s="45"/>
      <c r="M111" s="45">
        <v>17563</v>
      </c>
      <c r="N111" s="45">
        <v>5385.03</v>
      </c>
      <c r="O111" s="45"/>
      <c r="P111" s="118">
        <v>7551.9698000000026</v>
      </c>
      <c r="Q111" s="126">
        <v>7551.9697999999999</v>
      </c>
      <c r="R111" s="32">
        <f t="shared" ref="R111:R116" si="51">L111+M111+N111+O111+Q111</f>
        <v>30499.999799999998</v>
      </c>
      <c r="S111" s="60">
        <f t="shared" ref="S111:S116" si="52">P111-R111</f>
        <v>-22948.029999999995</v>
      </c>
      <c r="T111" s="60"/>
      <c r="U111" s="32">
        <f t="shared" ref="U111:U116" si="53">P111-Q111</f>
        <v>0</v>
      </c>
      <c r="V111" s="32"/>
      <c r="W111" s="126">
        <v>0</v>
      </c>
      <c r="X111" s="60"/>
      <c r="Y111" s="60"/>
      <c r="Z111" s="32">
        <f t="shared" ref="Z111:Z116" si="54">U111-(W111+X111+Y111)</f>
        <v>0</v>
      </c>
      <c r="AA111" s="34" t="s">
        <v>166</v>
      </c>
      <c r="AB111" s="234" t="s">
        <v>1116</v>
      </c>
    </row>
    <row r="112" spans="1:28" ht="15" customHeight="1" x14ac:dyDescent="0.35">
      <c r="A112" s="264"/>
      <c r="B112" s="272"/>
      <c r="C112" s="272"/>
      <c r="D112" s="25" t="s">
        <v>17</v>
      </c>
      <c r="E112" s="50" t="s">
        <v>27</v>
      </c>
      <c r="F112" s="55" t="s">
        <v>28</v>
      </c>
      <c r="G112" s="27" t="s">
        <v>29</v>
      </c>
      <c r="H112" s="27">
        <v>24</v>
      </c>
      <c r="I112" s="45">
        <f>144000/24</f>
        <v>6000</v>
      </c>
      <c r="J112" s="45">
        <v>144000</v>
      </c>
      <c r="K112" s="45">
        <v>0</v>
      </c>
      <c r="L112" s="45"/>
      <c r="M112" s="45"/>
      <c r="N112" s="45"/>
      <c r="O112" s="45"/>
      <c r="P112" s="118">
        <v>144000</v>
      </c>
      <c r="Q112" s="126">
        <v>72000</v>
      </c>
      <c r="R112" s="32">
        <f t="shared" si="51"/>
        <v>72000</v>
      </c>
      <c r="S112" s="60">
        <f t="shared" si="52"/>
        <v>72000</v>
      </c>
      <c r="T112" s="60"/>
      <c r="U112" s="32">
        <f t="shared" si="53"/>
        <v>72000</v>
      </c>
      <c r="V112" s="32">
        <v>72000</v>
      </c>
      <c r="W112" s="126"/>
      <c r="X112" s="60"/>
      <c r="Y112" s="60"/>
      <c r="Z112" s="32">
        <f t="shared" si="54"/>
        <v>72000</v>
      </c>
      <c r="AA112" s="34" t="s">
        <v>167</v>
      </c>
      <c r="AB112" s="127"/>
    </row>
    <row r="113" spans="1:28" ht="15" customHeight="1" x14ac:dyDescent="0.35">
      <c r="A113" s="264"/>
      <c r="B113" s="272"/>
      <c r="C113" s="272"/>
      <c r="D113" s="25" t="s">
        <v>31</v>
      </c>
      <c r="E113" s="50" t="s">
        <v>27</v>
      </c>
      <c r="F113" s="55" t="s">
        <v>28</v>
      </c>
      <c r="G113" s="27" t="s">
        <v>29</v>
      </c>
      <c r="H113" s="27">
        <v>24</v>
      </c>
      <c r="I113" s="45">
        <f>40354/24</f>
        <v>1681.4166666666667</v>
      </c>
      <c r="J113" s="45">
        <v>0</v>
      </c>
      <c r="K113" s="45">
        <v>40354</v>
      </c>
      <c r="L113" s="45"/>
      <c r="M113" s="45"/>
      <c r="N113" s="45"/>
      <c r="O113" s="45"/>
      <c r="P113" s="118">
        <v>0</v>
      </c>
      <c r="Q113" s="126">
        <v>0</v>
      </c>
      <c r="R113" s="32">
        <f t="shared" si="51"/>
        <v>0</v>
      </c>
      <c r="S113" s="60">
        <f t="shared" si="52"/>
        <v>0</v>
      </c>
      <c r="T113" s="60"/>
      <c r="U113" s="32">
        <f t="shared" si="53"/>
        <v>0</v>
      </c>
      <c r="V113" s="32">
        <v>0</v>
      </c>
      <c r="W113" s="126"/>
      <c r="X113" s="60"/>
      <c r="Y113" s="60"/>
      <c r="Z113" s="32">
        <f t="shared" si="54"/>
        <v>0</v>
      </c>
      <c r="AA113" s="34" t="s">
        <v>168</v>
      </c>
      <c r="AB113" s="127"/>
    </row>
    <row r="114" spans="1:28" ht="15" customHeight="1" x14ac:dyDescent="0.35">
      <c r="A114" s="264"/>
      <c r="B114" s="272"/>
      <c r="C114" s="272"/>
      <c r="D114" s="25" t="s">
        <v>33</v>
      </c>
      <c r="E114" s="50" t="s">
        <v>34</v>
      </c>
      <c r="F114" s="55" t="s">
        <v>28</v>
      </c>
      <c r="G114" s="27" t="s">
        <v>29</v>
      </c>
      <c r="H114" s="27">
        <v>4</v>
      </c>
      <c r="I114" s="45">
        <f>3000/4</f>
        <v>750</v>
      </c>
      <c r="J114" s="45">
        <v>0</v>
      </c>
      <c r="K114" s="45">
        <v>3000</v>
      </c>
      <c r="L114" s="45"/>
      <c r="M114" s="45"/>
      <c r="N114" s="45"/>
      <c r="O114" s="45"/>
      <c r="P114" s="118">
        <v>0</v>
      </c>
      <c r="Q114" s="126">
        <v>0</v>
      </c>
      <c r="R114" s="32">
        <f t="shared" si="51"/>
        <v>0</v>
      </c>
      <c r="S114" s="60">
        <f t="shared" si="52"/>
        <v>0</v>
      </c>
      <c r="T114" s="60"/>
      <c r="U114" s="32">
        <f t="shared" si="53"/>
        <v>0</v>
      </c>
      <c r="V114" s="32">
        <v>0</v>
      </c>
      <c r="W114" s="126"/>
      <c r="X114" s="60"/>
      <c r="Y114" s="60"/>
      <c r="Z114" s="32">
        <f t="shared" si="54"/>
        <v>0</v>
      </c>
      <c r="AA114" s="34" t="s">
        <v>169</v>
      </c>
      <c r="AB114" s="127"/>
    </row>
    <row r="115" spans="1:28" ht="15" customHeight="1" x14ac:dyDescent="0.35">
      <c r="A115" s="264"/>
      <c r="B115" s="272"/>
      <c r="C115" s="272"/>
      <c r="D115" s="25" t="s">
        <v>17</v>
      </c>
      <c r="E115" s="50" t="s">
        <v>27</v>
      </c>
      <c r="F115" s="55" t="s">
        <v>36</v>
      </c>
      <c r="G115" s="27" t="s">
        <v>55</v>
      </c>
      <c r="H115" s="27">
        <v>4</v>
      </c>
      <c r="I115" s="45">
        <v>3500</v>
      </c>
      <c r="J115" s="45">
        <v>14000</v>
      </c>
      <c r="K115" s="45">
        <v>0</v>
      </c>
      <c r="L115" s="45"/>
      <c r="M115" s="45">
        <v>12649.8</v>
      </c>
      <c r="N115" s="45">
        <v>-56.6</v>
      </c>
      <c r="O115" s="45"/>
      <c r="P115" s="118">
        <v>1406.8000000000011</v>
      </c>
      <c r="Q115" s="126">
        <v>1406.8</v>
      </c>
      <c r="R115" s="32">
        <f t="shared" si="51"/>
        <v>13999.999999999998</v>
      </c>
      <c r="S115" s="60">
        <f t="shared" si="52"/>
        <v>-12593.199999999997</v>
      </c>
      <c r="T115" s="60"/>
      <c r="U115" s="32">
        <f t="shared" si="53"/>
        <v>0</v>
      </c>
      <c r="V115" s="32">
        <v>0</v>
      </c>
      <c r="W115" s="126"/>
      <c r="X115" s="60"/>
      <c r="Y115" s="60"/>
      <c r="Z115" s="32">
        <f t="shared" si="54"/>
        <v>0</v>
      </c>
      <c r="AA115" s="34" t="s">
        <v>170</v>
      </c>
      <c r="AB115" s="127"/>
    </row>
    <row r="116" spans="1:28" ht="15" customHeight="1" x14ac:dyDescent="0.35">
      <c r="A116" s="264"/>
      <c r="B116" s="272"/>
      <c r="C116" s="272"/>
      <c r="D116" s="25" t="s">
        <v>17</v>
      </c>
      <c r="E116" s="50" t="s">
        <v>27</v>
      </c>
      <c r="F116" s="55" t="s">
        <v>39</v>
      </c>
      <c r="G116" s="27" t="s">
        <v>40</v>
      </c>
      <c r="H116" s="27">
        <v>4</v>
      </c>
      <c r="I116" s="35">
        <v>7500</v>
      </c>
      <c r="J116" s="35">
        <v>30000</v>
      </c>
      <c r="K116" s="35">
        <v>0</v>
      </c>
      <c r="L116" s="35"/>
      <c r="M116" s="35"/>
      <c r="N116" s="35"/>
      <c r="O116" s="35"/>
      <c r="P116" s="114">
        <v>30000</v>
      </c>
      <c r="Q116" s="126">
        <v>15000</v>
      </c>
      <c r="R116" s="32">
        <f t="shared" si="51"/>
        <v>15000</v>
      </c>
      <c r="S116" s="60">
        <f t="shared" si="52"/>
        <v>15000</v>
      </c>
      <c r="T116" s="60"/>
      <c r="U116" s="32">
        <f t="shared" si="53"/>
        <v>15000</v>
      </c>
      <c r="V116" s="32">
        <v>15000</v>
      </c>
      <c r="W116" s="126"/>
      <c r="X116" s="60"/>
      <c r="Y116" s="60"/>
      <c r="Z116" s="32">
        <f t="shared" si="54"/>
        <v>15000</v>
      </c>
      <c r="AA116" s="34" t="s">
        <v>171</v>
      </c>
      <c r="AB116" s="127"/>
    </row>
    <row r="117" spans="1:28" ht="15" customHeight="1" x14ac:dyDescent="0.35">
      <c r="A117" s="264"/>
      <c r="B117" s="272"/>
      <c r="C117" s="39"/>
      <c r="D117" s="39"/>
      <c r="E117" s="53"/>
      <c r="F117" s="57"/>
      <c r="G117" s="41"/>
      <c r="H117" s="41"/>
      <c r="I117" s="42"/>
      <c r="J117" s="42">
        <f>SUM(J111:J116)</f>
        <v>218499.99979999999</v>
      </c>
      <c r="K117" s="42">
        <f t="shared" ref="K117:T117" si="55">SUM(K111:K116)</f>
        <v>43354</v>
      </c>
      <c r="L117" s="42">
        <f t="shared" si="55"/>
        <v>0</v>
      </c>
      <c r="M117" s="42">
        <v>30212.799999999999</v>
      </c>
      <c r="N117" s="42">
        <v>5328.4299999999994</v>
      </c>
      <c r="O117" s="42">
        <v>0</v>
      </c>
      <c r="P117" s="42">
        <f t="shared" si="55"/>
        <v>182958.76979999998</v>
      </c>
      <c r="Q117" s="42">
        <f t="shared" si="55"/>
        <v>95958.769800000009</v>
      </c>
      <c r="R117" s="42">
        <f t="shared" si="55"/>
        <v>131499.99979999999</v>
      </c>
      <c r="S117" s="42">
        <f t="shared" si="55"/>
        <v>51458.770000000004</v>
      </c>
      <c r="T117" s="42">
        <f t="shared" si="55"/>
        <v>0</v>
      </c>
      <c r="U117" s="42">
        <f>SUM(U111:U116)</f>
        <v>87000</v>
      </c>
      <c r="V117" s="42">
        <f t="shared" ref="V117:W117" si="56">SUM(V111:V116)</f>
        <v>87000</v>
      </c>
      <c r="W117" s="42">
        <f t="shared" si="56"/>
        <v>0</v>
      </c>
      <c r="X117" s="42">
        <f t="shared" ref="X117:Z117" si="57">SUM(X111:X116)</f>
        <v>0</v>
      </c>
      <c r="Y117" s="42">
        <f t="shared" si="57"/>
        <v>0</v>
      </c>
      <c r="Z117" s="42">
        <f t="shared" si="57"/>
        <v>87000</v>
      </c>
      <c r="AA117" s="49"/>
      <c r="AB117" s="125" t="s">
        <v>1117</v>
      </c>
    </row>
    <row r="118" spans="1:28" ht="15" customHeight="1" x14ac:dyDescent="0.35">
      <c r="A118" s="264"/>
      <c r="B118" s="272"/>
      <c r="C118" s="272" t="s">
        <v>172</v>
      </c>
      <c r="D118" s="25" t="s">
        <v>17</v>
      </c>
      <c r="E118" s="50" t="s">
        <v>27</v>
      </c>
      <c r="F118" s="55" t="s">
        <v>28</v>
      </c>
      <c r="G118" s="27" t="s">
        <v>173</v>
      </c>
      <c r="H118" s="27">
        <v>24</v>
      </c>
      <c r="I118" s="35">
        <f>96350/24</f>
        <v>4014.5833333333335</v>
      </c>
      <c r="J118" s="35">
        <v>96350</v>
      </c>
      <c r="K118" s="35">
        <v>0</v>
      </c>
      <c r="L118" s="35"/>
      <c r="M118" s="35"/>
      <c r="N118" s="35"/>
      <c r="O118" s="35"/>
      <c r="P118" s="114">
        <v>96350</v>
      </c>
      <c r="Q118" s="126">
        <v>48175</v>
      </c>
      <c r="R118" s="32">
        <f t="shared" ref="R118:R122" si="58">L118+M118+N118+O118+Q118</f>
        <v>48175</v>
      </c>
      <c r="S118" s="60">
        <f>P118-R118</f>
        <v>48175</v>
      </c>
      <c r="T118" s="60"/>
      <c r="U118" s="32">
        <f t="shared" ref="U118:U122" si="59">P118-Q118</f>
        <v>48175</v>
      </c>
      <c r="V118" s="32">
        <v>48175</v>
      </c>
      <c r="W118" s="126"/>
      <c r="X118" s="60"/>
      <c r="Y118" s="60"/>
      <c r="Z118" s="32">
        <f t="shared" ref="Z118:Z122" si="60">U118-(W118+X118+Y118)</f>
        <v>48175</v>
      </c>
      <c r="AA118" s="34" t="s">
        <v>174</v>
      </c>
      <c r="AB118" s="234"/>
    </row>
    <row r="119" spans="1:28" ht="15" customHeight="1" x14ac:dyDescent="0.35">
      <c r="A119" s="264"/>
      <c r="B119" s="272"/>
      <c r="C119" s="272"/>
      <c r="D119" s="25" t="s">
        <v>31</v>
      </c>
      <c r="E119" s="50" t="s">
        <v>27</v>
      </c>
      <c r="F119" s="55" t="s">
        <v>28</v>
      </c>
      <c r="G119" s="27" t="s">
        <v>173</v>
      </c>
      <c r="H119" s="27">
        <v>24</v>
      </c>
      <c r="I119" s="35">
        <f>26000/24</f>
        <v>1083.3333333333333</v>
      </c>
      <c r="J119" s="35">
        <v>0</v>
      </c>
      <c r="K119" s="35">
        <v>26000</v>
      </c>
      <c r="L119" s="35"/>
      <c r="M119" s="35"/>
      <c r="N119" s="35"/>
      <c r="O119" s="35"/>
      <c r="P119" s="114">
        <v>0</v>
      </c>
      <c r="Q119" s="126">
        <v>0</v>
      </c>
      <c r="R119" s="32">
        <f t="shared" si="58"/>
        <v>0</v>
      </c>
      <c r="S119" s="60">
        <f>P119-R119</f>
        <v>0</v>
      </c>
      <c r="T119" s="60"/>
      <c r="U119" s="32">
        <f t="shared" si="59"/>
        <v>0</v>
      </c>
      <c r="V119" s="32"/>
      <c r="W119" s="126">
        <v>0</v>
      </c>
      <c r="X119" s="60"/>
      <c r="Y119" s="60"/>
      <c r="Z119" s="32">
        <f t="shared" si="60"/>
        <v>0</v>
      </c>
      <c r="AA119" s="34" t="s">
        <v>175</v>
      </c>
      <c r="AB119" s="127"/>
    </row>
    <row r="120" spans="1:28" ht="15" customHeight="1" x14ac:dyDescent="0.35">
      <c r="A120" s="264"/>
      <c r="B120" s="272"/>
      <c r="C120" s="272"/>
      <c r="D120" s="25" t="s">
        <v>33</v>
      </c>
      <c r="E120" s="50" t="s">
        <v>34</v>
      </c>
      <c r="F120" s="55" t="s">
        <v>28</v>
      </c>
      <c r="G120" s="27" t="s">
        <v>173</v>
      </c>
      <c r="H120" s="27">
        <v>1</v>
      </c>
      <c r="I120" s="35">
        <v>2000</v>
      </c>
      <c r="J120" s="35">
        <v>0</v>
      </c>
      <c r="K120" s="35">
        <v>2000</v>
      </c>
      <c r="L120" s="35"/>
      <c r="M120" s="35"/>
      <c r="N120" s="35"/>
      <c r="O120" s="35"/>
      <c r="P120" s="114">
        <v>0</v>
      </c>
      <c r="Q120" s="126">
        <v>0</v>
      </c>
      <c r="R120" s="32">
        <f t="shared" si="58"/>
        <v>0</v>
      </c>
      <c r="S120" s="60">
        <f>P120-R120</f>
        <v>0</v>
      </c>
      <c r="T120" s="60"/>
      <c r="U120" s="32">
        <f t="shared" si="59"/>
        <v>0</v>
      </c>
      <c r="V120" s="32"/>
      <c r="W120" s="126">
        <v>0</v>
      </c>
      <c r="X120" s="60"/>
      <c r="Y120" s="60"/>
      <c r="Z120" s="32">
        <f t="shared" si="60"/>
        <v>0</v>
      </c>
      <c r="AA120" s="34" t="s">
        <v>176</v>
      </c>
      <c r="AB120" s="127"/>
    </row>
    <row r="121" spans="1:28" ht="16" customHeight="1" x14ac:dyDescent="0.35">
      <c r="A121" s="264"/>
      <c r="B121" s="272"/>
      <c r="C121" s="272"/>
      <c r="D121" s="25" t="s">
        <v>17</v>
      </c>
      <c r="E121" s="50" t="s">
        <v>27</v>
      </c>
      <c r="F121" s="55" t="s">
        <v>36</v>
      </c>
      <c r="G121" s="27" t="s">
        <v>37</v>
      </c>
      <c r="H121" s="27">
        <v>2</v>
      </c>
      <c r="I121" s="35">
        <v>3500</v>
      </c>
      <c r="J121" s="35">
        <v>7000</v>
      </c>
      <c r="K121" s="35">
        <v>0</v>
      </c>
      <c r="L121" s="35"/>
      <c r="M121" s="35"/>
      <c r="N121" s="35"/>
      <c r="O121" s="35"/>
      <c r="P121" s="114">
        <v>7000</v>
      </c>
      <c r="Q121" s="126">
        <v>7000</v>
      </c>
      <c r="R121" s="32">
        <f t="shared" si="58"/>
        <v>7000</v>
      </c>
      <c r="S121" s="60">
        <f>P121-R121</f>
        <v>0</v>
      </c>
      <c r="T121" s="60"/>
      <c r="U121" s="32">
        <f t="shared" si="59"/>
        <v>0</v>
      </c>
      <c r="V121" s="32"/>
      <c r="W121" s="126">
        <v>0</v>
      </c>
      <c r="X121" s="60"/>
      <c r="Y121" s="60"/>
      <c r="Z121" s="32">
        <f t="shared" si="60"/>
        <v>0</v>
      </c>
      <c r="AA121" s="34" t="s">
        <v>177</v>
      </c>
      <c r="AB121" s="127"/>
    </row>
    <row r="122" spans="1:28" ht="15" customHeight="1" x14ac:dyDescent="0.35">
      <c r="A122" s="264"/>
      <c r="B122" s="272"/>
      <c r="C122" s="272"/>
      <c r="D122" s="25" t="s">
        <v>17</v>
      </c>
      <c r="E122" s="50" t="s">
        <v>27</v>
      </c>
      <c r="F122" s="55" t="s">
        <v>39</v>
      </c>
      <c r="G122" s="27" t="s">
        <v>40</v>
      </c>
      <c r="H122" s="27">
        <v>1</v>
      </c>
      <c r="I122" s="35">
        <v>9550</v>
      </c>
      <c r="J122" s="35">
        <v>9550</v>
      </c>
      <c r="K122" s="35">
        <v>0</v>
      </c>
      <c r="L122" s="35">
        <v>0</v>
      </c>
      <c r="M122" s="35"/>
      <c r="N122" s="35"/>
      <c r="O122" s="35"/>
      <c r="P122" s="114">
        <v>9550</v>
      </c>
      <c r="Q122" s="126">
        <v>9550</v>
      </c>
      <c r="R122" s="32">
        <f t="shared" si="58"/>
        <v>9550</v>
      </c>
      <c r="S122" s="60">
        <f>P122-R122</f>
        <v>0</v>
      </c>
      <c r="T122" s="60"/>
      <c r="U122" s="32">
        <f t="shared" si="59"/>
        <v>0</v>
      </c>
      <c r="V122" s="32"/>
      <c r="W122" s="126">
        <v>0</v>
      </c>
      <c r="X122" s="60"/>
      <c r="Y122" s="60"/>
      <c r="Z122" s="32">
        <f t="shared" si="60"/>
        <v>0</v>
      </c>
      <c r="AA122" s="34" t="s">
        <v>178</v>
      </c>
      <c r="AB122" s="127"/>
    </row>
    <row r="123" spans="1:28" ht="15" customHeight="1" x14ac:dyDescent="0.35">
      <c r="A123" s="264"/>
      <c r="B123" s="272"/>
      <c r="C123" s="39"/>
      <c r="D123" s="39"/>
      <c r="E123" s="53"/>
      <c r="F123" s="57"/>
      <c r="G123" s="41"/>
      <c r="H123" s="41"/>
      <c r="I123" s="42"/>
      <c r="J123" s="42">
        <f>SUM(J118:J122)</f>
        <v>112900</v>
      </c>
      <c r="K123" s="42">
        <f t="shared" ref="K123:Z123" si="61">SUM(K118:K122)</f>
        <v>28000</v>
      </c>
      <c r="L123" s="42">
        <f t="shared" si="61"/>
        <v>0</v>
      </c>
      <c r="M123" s="42">
        <v>0</v>
      </c>
      <c r="N123" s="42">
        <v>0</v>
      </c>
      <c r="O123" s="42">
        <v>0</v>
      </c>
      <c r="P123" s="42">
        <f t="shared" si="61"/>
        <v>112900</v>
      </c>
      <c r="Q123" s="42">
        <f t="shared" si="61"/>
        <v>64725</v>
      </c>
      <c r="R123" s="42">
        <f t="shared" si="61"/>
        <v>64725</v>
      </c>
      <c r="S123" s="42">
        <f t="shared" si="61"/>
        <v>48175</v>
      </c>
      <c r="T123" s="42">
        <f t="shared" si="61"/>
        <v>0</v>
      </c>
      <c r="U123" s="42">
        <f t="shared" si="61"/>
        <v>48175</v>
      </c>
      <c r="V123" s="42">
        <f t="shared" si="61"/>
        <v>48175</v>
      </c>
      <c r="W123" s="42">
        <f t="shared" si="61"/>
        <v>0</v>
      </c>
      <c r="X123" s="42">
        <f t="shared" si="61"/>
        <v>0</v>
      </c>
      <c r="Y123" s="42">
        <f t="shared" si="61"/>
        <v>0</v>
      </c>
      <c r="Z123" s="42">
        <f t="shared" si="61"/>
        <v>48175</v>
      </c>
      <c r="AA123" s="49"/>
      <c r="AB123" s="125" t="s">
        <v>1095</v>
      </c>
    </row>
    <row r="124" spans="1:28" ht="15" customHeight="1" x14ac:dyDescent="0.35">
      <c r="A124" s="264"/>
      <c r="B124" s="272"/>
      <c r="C124" s="272" t="s">
        <v>179</v>
      </c>
      <c r="D124" s="25" t="s">
        <v>17</v>
      </c>
      <c r="E124" s="50" t="s">
        <v>104</v>
      </c>
      <c r="F124" s="55" t="s">
        <v>28</v>
      </c>
      <c r="G124" s="27" t="s">
        <v>29</v>
      </c>
      <c r="H124" s="27">
        <v>36</v>
      </c>
      <c r="I124" s="45">
        <v>6083.3333400000001</v>
      </c>
      <c r="J124" s="45">
        <v>240000</v>
      </c>
      <c r="K124" s="45">
        <v>0</v>
      </c>
      <c r="L124" s="45"/>
      <c r="M124" s="45">
        <v>27364.04</v>
      </c>
      <c r="N124" s="45">
        <v>28063.805219479997</v>
      </c>
      <c r="O124" s="45">
        <v>176807.24</v>
      </c>
      <c r="P124" s="118">
        <v>7764.9147805200191</v>
      </c>
      <c r="Q124" s="126">
        <v>7764.91</v>
      </c>
      <c r="R124" s="32">
        <f t="shared" ref="R124:R128" si="62">L124+M124+N124+O124+Q124</f>
        <v>239999.99521947998</v>
      </c>
      <c r="S124" s="60">
        <f>P124-R124</f>
        <v>-232235.08043895997</v>
      </c>
      <c r="T124" s="60"/>
      <c r="U124" s="32">
        <f t="shared" ref="U124:U128" si="63">P124-Q124</f>
        <v>4.7805200192669872E-3</v>
      </c>
      <c r="V124" s="32"/>
      <c r="W124" s="126">
        <v>0</v>
      </c>
      <c r="X124" s="60"/>
      <c r="Y124" s="60"/>
      <c r="Z124" s="32">
        <f t="shared" ref="Z124:Z128" si="64">U124-(W124+X124+Y124)</f>
        <v>4.7805200192669872E-3</v>
      </c>
      <c r="AA124" s="34" t="s">
        <v>180</v>
      </c>
      <c r="AB124" s="127"/>
    </row>
    <row r="125" spans="1:28" ht="15" customHeight="1" x14ac:dyDescent="0.35">
      <c r="A125" s="264"/>
      <c r="B125" s="272"/>
      <c r="C125" s="272"/>
      <c r="D125" s="25" t="s">
        <v>31</v>
      </c>
      <c r="E125" s="50" t="s">
        <v>104</v>
      </c>
      <c r="F125" s="55" t="s">
        <v>28</v>
      </c>
      <c r="G125" s="27" t="s">
        <v>29</v>
      </c>
      <c r="H125" s="27">
        <v>36</v>
      </c>
      <c r="I125" s="45">
        <f>48000/36</f>
        <v>1333.3333333333333</v>
      </c>
      <c r="J125" s="45">
        <v>0</v>
      </c>
      <c r="K125" s="45">
        <v>48000</v>
      </c>
      <c r="L125" s="45"/>
      <c r="M125" s="45"/>
      <c r="N125" s="45"/>
      <c r="O125" s="45">
        <v>0</v>
      </c>
      <c r="P125" s="118">
        <v>0</v>
      </c>
      <c r="Q125" s="126">
        <v>0</v>
      </c>
      <c r="R125" s="32">
        <f t="shared" si="62"/>
        <v>0</v>
      </c>
      <c r="S125" s="60">
        <f>P125-R125</f>
        <v>0</v>
      </c>
      <c r="T125" s="60"/>
      <c r="U125" s="32">
        <f t="shared" si="63"/>
        <v>0</v>
      </c>
      <c r="V125" s="32"/>
      <c r="W125" s="126">
        <v>0</v>
      </c>
      <c r="X125" s="60"/>
      <c r="Y125" s="60"/>
      <c r="Z125" s="32">
        <f t="shared" si="64"/>
        <v>0</v>
      </c>
      <c r="AA125" s="34" t="s">
        <v>181</v>
      </c>
      <c r="AB125" s="127"/>
    </row>
    <row r="126" spans="1:28" ht="15" customHeight="1" x14ac:dyDescent="0.35">
      <c r="A126" s="264"/>
      <c r="B126" s="272"/>
      <c r="C126" s="272"/>
      <c r="D126" s="25" t="s">
        <v>17</v>
      </c>
      <c r="E126" s="50" t="s">
        <v>104</v>
      </c>
      <c r="F126" s="55" t="s">
        <v>36</v>
      </c>
      <c r="G126" s="27" t="s">
        <v>55</v>
      </c>
      <c r="H126" s="27">
        <v>1</v>
      </c>
      <c r="I126" s="45">
        <v>3750</v>
      </c>
      <c r="J126" s="45">
        <v>15000</v>
      </c>
      <c r="K126" s="45">
        <v>0</v>
      </c>
      <c r="L126" s="45"/>
      <c r="M126" s="45">
        <v>1881.07</v>
      </c>
      <c r="N126" s="45">
        <v>1055.071902545455</v>
      </c>
      <c r="O126" s="45">
        <v>0</v>
      </c>
      <c r="P126" s="118">
        <v>12063.858097454544</v>
      </c>
      <c r="Q126" s="126">
        <v>12063.86</v>
      </c>
      <c r="R126" s="32">
        <f t="shared" si="62"/>
        <v>15000.001902545457</v>
      </c>
      <c r="S126" s="60">
        <f>P126-R126</f>
        <v>-2936.1438050909128</v>
      </c>
      <c r="T126" s="60"/>
      <c r="U126" s="32">
        <f t="shared" si="63"/>
        <v>-1.9025454566872213E-3</v>
      </c>
      <c r="V126" s="32"/>
      <c r="W126" s="126">
        <v>0</v>
      </c>
      <c r="X126" s="60"/>
      <c r="Y126" s="60"/>
      <c r="Z126" s="32">
        <f t="shared" si="64"/>
        <v>-1.9025454566872213E-3</v>
      </c>
      <c r="AA126" s="34" t="s">
        <v>182</v>
      </c>
      <c r="AB126" s="127"/>
    </row>
    <row r="127" spans="1:28" ht="15" customHeight="1" x14ac:dyDescent="0.35">
      <c r="A127" s="264"/>
      <c r="B127" s="272"/>
      <c r="C127" s="272"/>
      <c r="D127" s="25" t="s">
        <v>17</v>
      </c>
      <c r="E127" s="50" t="s">
        <v>104</v>
      </c>
      <c r="F127" s="55" t="s">
        <v>39</v>
      </c>
      <c r="G127" s="27"/>
      <c r="H127" s="27"/>
      <c r="I127" s="45"/>
      <c r="J127" s="45"/>
      <c r="K127" s="45"/>
      <c r="L127" s="45"/>
      <c r="M127" s="45"/>
      <c r="N127" s="45"/>
      <c r="O127" s="45">
        <v>0</v>
      </c>
      <c r="P127" s="118">
        <v>0</v>
      </c>
      <c r="Q127" s="126">
        <v>0</v>
      </c>
      <c r="R127" s="32">
        <f t="shared" si="62"/>
        <v>0</v>
      </c>
      <c r="S127" s="60">
        <f>P127-R127</f>
        <v>0</v>
      </c>
      <c r="T127" s="60"/>
      <c r="U127" s="32">
        <f t="shared" si="63"/>
        <v>0</v>
      </c>
      <c r="V127" s="32"/>
      <c r="W127" s="126">
        <v>0</v>
      </c>
      <c r="X127" s="60"/>
      <c r="Y127" s="60"/>
      <c r="Z127" s="32">
        <f t="shared" si="64"/>
        <v>0</v>
      </c>
      <c r="AA127" s="34"/>
      <c r="AB127" s="127"/>
    </row>
    <row r="128" spans="1:28" ht="15" customHeight="1" x14ac:dyDescent="0.35">
      <c r="A128" s="264"/>
      <c r="B128" s="272"/>
      <c r="C128" s="272"/>
      <c r="D128" s="25" t="s">
        <v>33</v>
      </c>
      <c r="E128" s="50" t="s">
        <v>34</v>
      </c>
      <c r="F128" s="55" t="s">
        <v>28</v>
      </c>
      <c r="G128" s="27" t="s">
        <v>29</v>
      </c>
      <c r="H128" s="27">
        <v>1</v>
      </c>
      <c r="I128" s="45">
        <v>4000</v>
      </c>
      <c r="J128" s="45">
        <v>0</v>
      </c>
      <c r="K128" s="45">
        <v>4000</v>
      </c>
      <c r="L128" s="45"/>
      <c r="M128" s="45"/>
      <c r="N128" s="45"/>
      <c r="O128" s="45"/>
      <c r="P128" s="118">
        <v>0</v>
      </c>
      <c r="Q128" s="126">
        <v>4000</v>
      </c>
      <c r="R128" s="32">
        <f t="shared" si="62"/>
        <v>4000</v>
      </c>
      <c r="S128" s="60">
        <f>P128-R128</f>
        <v>-4000</v>
      </c>
      <c r="T128" s="60"/>
      <c r="U128" s="32">
        <f t="shared" si="63"/>
        <v>-4000</v>
      </c>
      <c r="V128" s="32"/>
      <c r="W128" s="126">
        <v>0</v>
      </c>
      <c r="X128" s="60"/>
      <c r="Y128" s="60"/>
      <c r="Z128" s="32">
        <f t="shared" si="64"/>
        <v>-4000</v>
      </c>
      <c r="AA128" s="34" t="s">
        <v>183</v>
      </c>
      <c r="AB128" s="127"/>
    </row>
    <row r="129" spans="1:28" ht="15" customHeight="1" x14ac:dyDescent="0.35">
      <c r="A129" s="264"/>
      <c r="B129" s="272"/>
      <c r="C129" s="39"/>
      <c r="D129" s="39"/>
      <c r="E129" s="53"/>
      <c r="F129" s="57"/>
      <c r="G129" s="41"/>
      <c r="H129" s="41"/>
      <c r="I129" s="54"/>
      <c r="J129" s="54">
        <f>SUM(J124:J128)</f>
        <v>255000</v>
      </c>
      <c r="K129" s="54">
        <f t="shared" ref="K129:Z129" si="65">SUM(K124:K128)</f>
        <v>52000</v>
      </c>
      <c r="L129" s="54">
        <f t="shared" si="65"/>
        <v>0</v>
      </c>
      <c r="M129" s="54">
        <v>29245.11</v>
      </c>
      <c r="N129" s="54">
        <v>29118.877122025453</v>
      </c>
      <c r="O129" s="54">
        <v>176807.24</v>
      </c>
      <c r="P129" s="54">
        <f t="shared" si="65"/>
        <v>19828.772877974563</v>
      </c>
      <c r="Q129" s="54">
        <f t="shared" si="65"/>
        <v>23828.77</v>
      </c>
      <c r="R129" s="54">
        <f t="shared" si="65"/>
        <v>258999.99712202544</v>
      </c>
      <c r="S129" s="54">
        <f t="shared" si="65"/>
        <v>-239171.22424405089</v>
      </c>
      <c r="T129" s="54">
        <f t="shared" si="65"/>
        <v>0</v>
      </c>
      <c r="U129" s="54">
        <f t="shared" si="65"/>
        <v>-3999.9971220254374</v>
      </c>
      <c r="V129" s="54">
        <f t="shared" si="65"/>
        <v>0</v>
      </c>
      <c r="W129" s="54">
        <f t="shared" si="65"/>
        <v>0</v>
      </c>
      <c r="X129" s="54">
        <f t="shared" si="65"/>
        <v>0</v>
      </c>
      <c r="Y129" s="54">
        <f t="shared" si="65"/>
        <v>0</v>
      </c>
      <c r="Z129" s="54">
        <f t="shared" si="65"/>
        <v>-3999.9971220254374</v>
      </c>
      <c r="AA129" s="49"/>
      <c r="AB129" s="128"/>
    </row>
    <row r="130" spans="1:28" ht="15" customHeight="1" x14ac:dyDescent="0.35">
      <c r="A130" s="264"/>
      <c r="B130" s="272"/>
      <c r="C130" s="272" t="s">
        <v>184</v>
      </c>
      <c r="D130" s="25" t="s">
        <v>17</v>
      </c>
      <c r="E130" s="50" t="s">
        <v>104</v>
      </c>
      <c r="F130" s="55" t="s">
        <v>28</v>
      </c>
      <c r="G130" s="27" t="s">
        <v>29</v>
      </c>
      <c r="H130" s="27">
        <v>36</v>
      </c>
      <c r="I130" s="45">
        <v>6083.3333400000001</v>
      </c>
      <c r="J130" s="45">
        <v>240000</v>
      </c>
      <c r="K130" s="45">
        <v>0</v>
      </c>
      <c r="L130" s="45"/>
      <c r="M130" s="45">
        <v>27666.97</v>
      </c>
      <c r="N130" s="45">
        <v>49708.779839680006</v>
      </c>
      <c r="O130" s="45">
        <v>200621.12507925832</v>
      </c>
      <c r="P130" s="118">
        <v>-37996.874918938323</v>
      </c>
      <c r="Q130" s="126">
        <v>0</v>
      </c>
      <c r="R130" s="32">
        <f t="shared" ref="R130:R135" si="66">L130+M130+N130+O130+Q130</f>
        <v>277996.87491893832</v>
      </c>
      <c r="S130" s="60">
        <f t="shared" ref="S130:S135" si="67">P130-R130</f>
        <v>-315993.74983787665</v>
      </c>
      <c r="T130" s="60"/>
      <c r="U130" s="32">
        <f t="shared" ref="U130:U135" si="68">P130-Q130</f>
        <v>-37996.874918938323</v>
      </c>
      <c r="V130" s="32"/>
      <c r="W130" s="126">
        <v>0</v>
      </c>
      <c r="X130" s="60"/>
      <c r="Y130" s="60"/>
      <c r="Z130" s="32">
        <f t="shared" ref="Z130:Z135" si="69">U130-(W130+X130+Y130)</f>
        <v>-37996.874918938323</v>
      </c>
      <c r="AA130" s="34" t="s">
        <v>185</v>
      </c>
      <c r="AB130" s="127"/>
    </row>
    <row r="131" spans="1:28" ht="15" customHeight="1" x14ac:dyDescent="0.35">
      <c r="A131" s="264"/>
      <c r="B131" s="272"/>
      <c r="C131" s="272"/>
      <c r="D131" s="25" t="s">
        <v>31</v>
      </c>
      <c r="E131" s="50" t="s">
        <v>104</v>
      </c>
      <c r="F131" s="55" t="s">
        <v>28</v>
      </c>
      <c r="G131" s="27" t="s">
        <v>29</v>
      </c>
      <c r="H131" s="27">
        <v>36</v>
      </c>
      <c r="I131" s="45">
        <v>1333.33</v>
      </c>
      <c r="J131" s="45">
        <v>0</v>
      </c>
      <c r="K131" s="45">
        <v>48000</v>
      </c>
      <c r="L131" s="45"/>
      <c r="M131" s="45"/>
      <c r="N131" s="45"/>
      <c r="O131" s="45">
        <v>0</v>
      </c>
      <c r="P131" s="118">
        <v>0</v>
      </c>
      <c r="Q131" s="126">
        <v>0</v>
      </c>
      <c r="R131" s="32">
        <f t="shared" si="66"/>
        <v>0</v>
      </c>
      <c r="S131" s="60">
        <f t="shared" si="67"/>
        <v>0</v>
      </c>
      <c r="T131" s="60"/>
      <c r="U131" s="32">
        <f t="shared" si="68"/>
        <v>0</v>
      </c>
      <c r="V131" s="32"/>
      <c r="W131" s="126">
        <v>0</v>
      </c>
      <c r="X131" s="60"/>
      <c r="Y131" s="60"/>
      <c r="Z131" s="32">
        <f t="shared" si="69"/>
        <v>0</v>
      </c>
      <c r="AA131" s="34" t="s">
        <v>186</v>
      </c>
      <c r="AB131" s="127"/>
    </row>
    <row r="132" spans="1:28" ht="15" customHeight="1" x14ac:dyDescent="0.35">
      <c r="A132" s="264"/>
      <c r="B132" s="272"/>
      <c r="C132" s="272"/>
      <c r="D132" s="25" t="s">
        <v>33</v>
      </c>
      <c r="E132" s="50" t="s">
        <v>34</v>
      </c>
      <c r="F132" s="55" t="s">
        <v>28</v>
      </c>
      <c r="G132" s="27" t="s">
        <v>29</v>
      </c>
      <c r="H132" s="27">
        <v>1</v>
      </c>
      <c r="I132" s="45">
        <v>4000</v>
      </c>
      <c r="J132" s="45">
        <v>0</v>
      </c>
      <c r="K132" s="45">
        <v>4000</v>
      </c>
      <c r="L132" s="45"/>
      <c r="M132" s="45"/>
      <c r="N132" s="45"/>
      <c r="O132" s="45">
        <v>0</v>
      </c>
      <c r="P132" s="118">
        <v>0</v>
      </c>
      <c r="Q132" s="126">
        <v>0</v>
      </c>
      <c r="R132" s="32">
        <f t="shared" si="66"/>
        <v>0</v>
      </c>
      <c r="S132" s="60">
        <f t="shared" si="67"/>
        <v>0</v>
      </c>
      <c r="T132" s="60"/>
      <c r="U132" s="32">
        <f t="shared" si="68"/>
        <v>0</v>
      </c>
      <c r="V132" s="32"/>
      <c r="W132" s="126">
        <v>0</v>
      </c>
      <c r="X132" s="60"/>
      <c r="Y132" s="60"/>
      <c r="Z132" s="32">
        <f t="shared" si="69"/>
        <v>0</v>
      </c>
      <c r="AA132" s="34" t="s">
        <v>187</v>
      </c>
      <c r="AB132" s="127"/>
    </row>
    <row r="133" spans="1:28" ht="15" customHeight="1" x14ac:dyDescent="0.35">
      <c r="A133" s="264"/>
      <c r="B133" s="272"/>
      <c r="C133" s="272"/>
      <c r="D133" s="25" t="s">
        <v>17</v>
      </c>
      <c r="E133" s="50" t="s">
        <v>104</v>
      </c>
      <c r="F133" s="55" t="s">
        <v>36</v>
      </c>
      <c r="G133" s="27" t="s">
        <v>55</v>
      </c>
      <c r="H133" s="27">
        <v>1</v>
      </c>
      <c r="I133" s="45">
        <v>3750</v>
      </c>
      <c r="J133" s="45">
        <v>37500</v>
      </c>
      <c r="K133" s="45">
        <v>0</v>
      </c>
      <c r="L133" s="45"/>
      <c r="M133" s="45">
        <v>1881.07</v>
      </c>
      <c r="N133" s="45">
        <v>1055.071902545455</v>
      </c>
      <c r="O133" s="45">
        <v>0</v>
      </c>
      <c r="P133" s="118">
        <v>34563.858097454548</v>
      </c>
      <c r="Q133" s="126">
        <v>26730.04</v>
      </c>
      <c r="R133" s="32">
        <f t="shared" si="66"/>
        <v>29666.181902545457</v>
      </c>
      <c r="S133" s="60">
        <f t="shared" si="67"/>
        <v>4897.6761949090906</v>
      </c>
      <c r="T133" s="60"/>
      <c r="U133" s="32">
        <f t="shared" si="68"/>
        <v>7833.8180974545467</v>
      </c>
      <c r="V133" s="32"/>
      <c r="W133" s="126">
        <v>0</v>
      </c>
      <c r="X133" s="60"/>
      <c r="Y133" s="60"/>
      <c r="Z133" s="32">
        <f t="shared" si="69"/>
        <v>7833.8180974545467</v>
      </c>
      <c r="AA133" s="34" t="s">
        <v>188</v>
      </c>
      <c r="AB133" s="127"/>
    </row>
    <row r="134" spans="1:28" ht="15" customHeight="1" x14ac:dyDescent="0.35">
      <c r="A134" s="264"/>
      <c r="B134" s="272"/>
      <c r="C134" s="272"/>
      <c r="D134" s="25" t="s">
        <v>17</v>
      </c>
      <c r="E134" s="50" t="s">
        <v>104</v>
      </c>
      <c r="F134" s="55" t="s">
        <v>39</v>
      </c>
      <c r="G134" s="27" t="s">
        <v>40</v>
      </c>
      <c r="H134" s="27">
        <v>4</v>
      </c>
      <c r="I134" s="45">
        <f>1250*3</f>
        <v>3750</v>
      </c>
      <c r="J134" s="45">
        <v>31000</v>
      </c>
      <c r="K134" s="45">
        <v>0</v>
      </c>
      <c r="L134" s="45"/>
      <c r="M134" s="45"/>
      <c r="N134" s="45">
        <v>677.87</v>
      </c>
      <c r="O134" s="45">
        <v>159.07</v>
      </c>
      <c r="P134" s="118">
        <v>30163.06</v>
      </c>
      <c r="Q134" s="126">
        <v>0</v>
      </c>
      <c r="R134" s="32">
        <f t="shared" si="66"/>
        <v>836.94</v>
      </c>
      <c r="S134" s="60">
        <f t="shared" si="67"/>
        <v>29326.120000000003</v>
      </c>
      <c r="T134" s="60"/>
      <c r="U134" s="32">
        <f t="shared" si="68"/>
        <v>30163.06</v>
      </c>
      <c r="V134" s="32"/>
      <c r="W134" s="126">
        <v>0</v>
      </c>
      <c r="X134" s="60"/>
      <c r="Y134" s="60"/>
      <c r="Z134" s="32">
        <f t="shared" si="69"/>
        <v>30163.06</v>
      </c>
      <c r="AA134" s="34" t="s">
        <v>189</v>
      </c>
      <c r="AB134" s="127"/>
    </row>
    <row r="135" spans="1:28" ht="15" customHeight="1" x14ac:dyDescent="0.35">
      <c r="A135" s="264"/>
      <c r="B135" s="272"/>
      <c r="C135" s="272"/>
      <c r="D135" s="25" t="s">
        <v>33</v>
      </c>
      <c r="E135" s="50" t="s">
        <v>34</v>
      </c>
      <c r="F135" s="55" t="s">
        <v>39</v>
      </c>
      <c r="G135" s="27" t="s">
        <v>40</v>
      </c>
      <c r="H135" s="27">
        <v>4</v>
      </c>
      <c r="I135" s="45">
        <v>1000</v>
      </c>
      <c r="J135" s="45">
        <v>0</v>
      </c>
      <c r="K135" s="45">
        <v>4000</v>
      </c>
      <c r="L135" s="45"/>
      <c r="M135" s="45"/>
      <c r="N135" s="45"/>
      <c r="O135" s="45">
        <v>0</v>
      </c>
      <c r="P135" s="118">
        <v>0</v>
      </c>
      <c r="Q135" s="126">
        <v>0</v>
      </c>
      <c r="R135" s="32">
        <f t="shared" si="66"/>
        <v>0</v>
      </c>
      <c r="S135" s="60">
        <f t="shared" si="67"/>
        <v>0</v>
      </c>
      <c r="T135" s="60"/>
      <c r="U135" s="32">
        <f t="shared" si="68"/>
        <v>0</v>
      </c>
      <c r="V135" s="32"/>
      <c r="W135" s="126">
        <v>0</v>
      </c>
      <c r="X135" s="60"/>
      <c r="Y135" s="60"/>
      <c r="Z135" s="32">
        <f t="shared" si="69"/>
        <v>0</v>
      </c>
      <c r="AA135" s="34" t="s">
        <v>190</v>
      </c>
      <c r="AB135" s="127"/>
    </row>
    <row r="136" spans="1:28" ht="15" customHeight="1" x14ac:dyDescent="0.35">
      <c r="A136" s="264"/>
      <c r="B136" s="272"/>
      <c r="C136" s="39"/>
      <c r="D136" s="39"/>
      <c r="E136" s="53"/>
      <c r="F136" s="57"/>
      <c r="G136" s="41"/>
      <c r="H136" s="41"/>
      <c r="I136" s="54"/>
      <c r="J136" s="54">
        <f>SUM(J130:J135)</f>
        <v>308500</v>
      </c>
      <c r="K136" s="54">
        <f t="shared" ref="K136:T136" si="70">SUM(K130:K135)</f>
        <v>56000</v>
      </c>
      <c r="L136" s="54">
        <f t="shared" si="70"/>
        <v>0</v>
      </c>
      <c r="M136" s="54">
        <v>29548.04</v>
      </c>
      <c r="N136" s="54">
        <v>51441.721742225462</v>
      </c>
      <c r="O136" s="54">
        <v>200780.19507925832</v>
      </c>
      <c r="P136" s="54">
        <f t="shared" si="70"/>
        <v>26730.043178516225</v>
      </c>
      <c r="Q136" s="54">
        <f t="shared" si="70"/>
        <v>26730.04</v>
      </c>
      <c r="R136" s="54">
        <f t="shared" si="70"/>
        <v>308499.99682148377</v>
      </c>
      <c r="S136" s="54">
        <f t="shared" si="70"/>
        <v>-281769.95364296756</v>
      </c>
      <c r="T136" s="54">
        <f t="shared" si="70"/>
        <v>0</v>
      </c>
      <c r="U136" s="54">
        <f>SUM(U130:U135)</f>
        <v>3.1785162245796528E-3</v>
      </c>
      <c r="V136" s="54">
        <f t="shared" ref="V136:W136" si="71">SUM(V130:V135)</f>
        <v>0</v>
      </c>
      <c r="W136" s="54">
        <f t="shared" si="71"/>
        <v>0</v>
      </c>
      <c r="X136" s="54">
        <f t="shared" ref="X136:Z136" si="72">SUM(X130:X135)</f>
        <v>0</v>
      </c>
      <c r="Y136" s="54">
        <f t="shared" si="72"/>
        <v>0</v>
      </c>
      <c r="Z136" s="54">
        <f t="shared" si="72"/>
        <v>3.1785162245796528E-3</v>
      </c>
      <c r="AA136" s="49"/>
      <c r="AB136" s="128"/>
    </row>
    <row r="137" spans="1:28" ht="15" customHeight="1" x14ac:dyDescent="0.35">
      <c r="A137" s="264"/>
      <c r="B137" s="272"/>
      <c r="C137" s="272" t="s">
        <v>191</v>
      </c>
      <c r="D137" s="25" t="s">
        <v>17</v>
      </c>
      <c r="E137" s="50" t="s">
        <v>104</v>
      </c>
      <c r="F137" s="55" t="s">
        <v>28</v>
      </c>
      <c r="G137" s="27" t="s">
        <v>29</v>
      </c>
      <c r="H137" s="27">
        <v>6</v>
      </c>
      <c r="I137" s="45">
        <v>9583.3333399999992</v>
      </c>
      <c r="J137" s="45">
        <v>288000.00004000001</v>
      </c>
      <c r="K137" s="45">
        <v>0</v>
      </c>
      <c r="L137" s="45"/>
      <c r="M137" s="45">
        <v>40066.660000000003</v>
      </c>
      <c r="N137" s="45">
        <v>7737.8909144000054</v>
      </c>
      <c r="O137" s="45">
        <v>40069.251963524999</v>
      </c>
      <c r="P137" s="118">
        <v>200126.19004000002</v>
      </c>
      <c r="Q137" s="126">
        <v>100063.19</v>
      </c>
      <c r="R137" s="32">
        <f t="shared" ref="R137:R140" si="73">L137+M137+N137+O137+Q137</f>
        <v>187936.99287792502</v>
      </c>
      <c r="S137" s="60">
        <f>P137-R137</f>
        <v>12189.197162074997</v>
      </c>
      <c r="T137" s="60"/>
      <c r="U137" s="32">
        <f t="shared" ref="U137:U140" si="74">P137-Q137</f>
        <v>100063.00004000001</v>
      </c>
      <c r="V137" s="126">
        <v>96063.000040000014</v>
      </c>
      <c r="W137" s="126"/>
      <c r="X137" s="60"/>
      <c r="Y137" s="60"/>
      <c r="Z137" s="32">
        <f t="shared" ref="Z137:Z140" si="75">U137-(W137+X137+Y137)</f>
        <v>100063.00004000001</v>
      </c>
      <c r="AA137" s="34" t="s">
        <v>192</v>
      </c>
      <c r="AB137" s="127"/>
    </row>
    <row r="138" spans="1:28" ht="15" customHeight="1" x14ac:dyDescent="0.35">
      <c r="A138" s="264"/>
      <c r="B138" s="272"/>
      <c r="C138" s="272"/>
      <c r="D138" s="25" t="s">
        <v>31</v>
      </c>
      <c r="E138" s="50" t="s">
        <v>104</v>
      </c>
      <c r="F138" s="55" t="s">
        <v>28</v>
      </c>
      <c r="G138" s="27" t="s">
        <v>29</v>
      </c>
      <c r="H138" s="27">
        <v>36</v>
      </c>
      <c r="I138" s="45">
        <f>57600/H138</f>
        <v>1600</v>
      </c>
      <c r="J138" s="45">
        <v>0</v>
      </c>
      <c r="K138" s="45">
        <v>57600</v>
      </c>
      <c r="L138" s="45"/>
      <c r="M138" s="45"/>
      <c r="N138" s="45"/>
      <c r="O138" s="45">
        <v>0</v>
      </c>
      <c r="P138" s="118">
        <v>0</v>
      </c>
      <c r="Q138" s="126">
        <v>0</v>
      </c>
      <c r="R138" s="32">
        <f t="shared" si="73"/>
        <v>0</v>
      </c>
      <c r="S138" s="60">
        <f>P138-R138</f>
        <v>0</v>
      </c>
      <c r="T138" s="60"/>
      <c r="U138" s="32">
        <f t="shared" si="74"/>
        <v>0</v>
      </c>
      <c r="V138" s="32"/>
      <c r="W138" s="126">
        <v>0</v>
      </c>
      <c r="X138" s="60"/>
      <c r="Y138" s="60"/>
      <c r="Z138" s="32">
        <f t="shared" si="75"/>
        <v>0</v>
      </c>
      <c r="AA138" s="34" t="s">
        <v>193</v>
      </c>
      <c r="AB138" s="127"/>
    </row>
    <row r="139" spans="1:28" ht="15" customHeight="1" x14ac:dyDescent="0.35">
      <c r="A139" s="264"/>
      <c r="B139" s="272"/>
      <c r="C139" s="272"/>
      <c r="D139" s="25" t="s">
        <v>33</v>
      </c>
      <c r="E139" s="50" t="s">
        <v>34</v>
      </c>
      <c r="F139" s="55" t="s">
        <v>28</v>
      </c>
      <c r="G139" s="27" t="s">
        <v>29</v>
      </c>
      <c r="H139" s="27">
        <v>1</v>
      </c>
      <c r="I139" s="45">
        <v>4000</v>
      </c>
      <c r="J139" s="45">
        <v>0</v>
      </c>
      <c r="K139" s="45">
        <v>4000</v>
      </c>
      <c r="L139" s="45"/>
      <c r="M139" s="45"/>
      <c r="N139" s="45"/>
      <c r="O139" s="45">
        <v>0</v>
      </c>
      <c r="P139" s="118">
        <v>0</v>
      </c>
      <c r="Q139" s="126">
        <v>4000</v>
      </c>
      <c r="R139" s="32">
        <f t="shared" si="73"/>
        <v>4000</v>
      </c>
      <c r="S139" s="60">
        <f>P139-R139</f>
        <v>-4000</v>
      </c>
      <c r="T139" s="60"/>
      <c r="U139" s="32">
        <f t="shared" si="74"/>
        <v>-4000</v>
      </c>
      <c r="V139" s="32"/>
      <c r="W139" s="126">
        <v>0</v>
      </c>
      <c r="X139" s="60"/>
      <c r="Y139" s="60"/>
      <c r="Z139" s="32">
        <f t="shared" si="75"/>
        <v>-4000</v>
      </c>
      <c r="AA139" s="34" t="s">
        <v>194</v>
      </c>
      <c r="AB139" s="127"/>
    </row>
    <row r="140" spans="1:28" ht="15" customHeight="1" x14ac:dyDescent="0.35">
      <c r="A140" s="264"/>
      <c r="B140" s="272"/>
      <c r="C140" s="272"/>
      <c r="D140" s="25" t="s">
        <v>17</v>
      </c>
      <c r="E140" s="50" t="s">
        <v>104</v>
      </c>
      <c r="F140" s="55" t="s">
        <v>36</v>
      </c>
      <c r="G140" s="27" t="s">
        <v>55</v>
      </c>
      <c r="H140" s="27">
        <v>4</v>
      </c>
      <c r="I140" s="45">
        <v>3750</v>
      </c>
      <c r="J140" s="45">
        <v>15000</v>
      </c>
      <c r="K140" s="45">
        <v>0</v>
      </c>
      <c r="L140" s="45"/>
      <c r="M140" s="45">
        <v>1877.31</v>
      </c>
      <c r="N140" s="45">
        <v>1055.071902545455</v>
      </c>
      <c r="O140" s="45">
        <v>0</v>
      </c>
      <c r="P140" s="118">
        <v>12067.618097454546</v>
      </c>
      <c r="Q140" s="126">
        <v>12067.618097454546</v>
      </c>
      <c r="R140" s="32">
        <f t="shared" si="73"/>
        <v>15000</v>
      </c>
      <c r="S140" s="60">
        <f>P140-R140</f>
        <v>-2932.3819025454541</v>
      </c>
      <c r="T140" s="60"/>
      <c r="U140" s="32">
        <f t="shared" si="74"/>
        <v>0</v>
      </c>
      <c r="V140" s="32"/>
      <c r="W140" s="126">
        <v>0</v>
      </c>
      <c r="X140" s="60"/>
      <c r="Y140" s="60"/>
      <c r="Z140" s="32">
        <f t="shared" si="75"/>
        <v>0</v>
      </c>
      <c r="AA140" s="34" t="s">
        <v>195</v>
      </c>
      <c r="AB140" s="127"/>
    </row>
    <row r="141" spans="1:28" ht="15" customHeight="1" x14ac:dyDescent="0.35">
      <c r="A141" s="264"/>
      <c r="B141" s="272"/>
      <c r="C141" s="39"/>
      <c r="D141" s="39"/>
      <c r="E141" s="53"/>
      <c r="F141" s="57"/>
      <c r="G141" s="41"/>
      <c r="H141" s="41"/>
      <c r="I141" s="54"/>
      <c r="J141" s="54">
        <f>SUM(J137:J140)</f>
        <v>303000.00004000001</v>
      </c>
      <c r="K141" s="54">
        <f t="shared" ref="K141:Z141" si="76">SUM(K137:K140)</f>
        <v>61600</v>
      </c>
      <c r="L141" s="54">
        <f t="shared" si="76"/>
        <v>0</v>
      </c>
      <c r="M141" s="54">
        <v>41943.97</v>
      </c>
      <c r="N141" s="54">
        <v>8792.9628169454609</v>
      </c>
      <c r="O141" s="54">
        <v>40069.251963524999</v>
      </c>
      <c r="P141" s="54">
        <f t="shared" si="76"/>
        <v>212193.80813745456</v>
      </c>
      <c r="Q141" s="54">
        <f t="shared" si="76"/>
        <v>116130.80809745454</v>
      </c>
      <c r="R141" s="54">
        <f t="shared" si="76"/>
        <v>206936.99287792502</v>
      </c>
      <c r="S141" s="54">
        <f t="shared" si="76"/>
        <v>5256.8152595295433</v>
      </c>
      <c r="T141" s="54">
        <f t="shared" si="76"/>
        <v>0</v>
      </c>
      <c r="U141" s="54">
        <f t="shared" si="76"/>
        <v>96063.000040000014</v>
      </c>
      <c r="V141" s="54">
        <f t="shared" si="76"/>
        <v>96063.000040000014</v>
      </c>
      <c r="W141" s="54">
        <f t="shared" si="76"/>
        <v>0</v>
      </c>
      <c r="X141" s="54">
        <f t="shared" si="76"/>
        <v>0</v>
      </c>
      <c r="Y141" s="54">
        <f t="shared" si="76"/>
        <v>0</v>
      </c>
      <c r="Z141" s="54">
        <f t="shared" si="76"/>
        <v>96063.000040000014</v>
      </c>
      <c r="AA141" s="49"/>
      <c r="AB141" s="128"/>
    </row>
    <row r="142" spans="1:28" ht="15" customHeight="1" x14ac:dyDescent="0.35">
      <c r="A142" s="264"/>
      <c r="B142" s="272"/>
      <c r="C142" s="272" t="s">
        <v>196</v>
      </c>
      <c r="D142" s="25" t="s">
        <v>17</v>
      </c>
      <c r="E142" s="50" t="s">
        <v>104</v>
      </c>
      <c r="F142" s="55" t="s">
        <v>28</v>
      </c>
      <c r="G142" s="27" t="s">
        <v>29</v>
      </c>
      <c r="H142" s="27">
        <v>36.57</v>
      </c>
      <c r="I142" s="45">
        <v>5250</v>
      </c>
      <c r="J142" s="45">
        <v>192000</v>
      </c>
      <c r="K142" s="45">
        <v>0</v>
      </c>
      <c r="L142" s="45">
        <v>0</v>
      </c>
      <c r="M142" s="45">
        <v>27892.22</v>
      </c>
      <c r="N142" s="45">
        <v>5190.7603279999967</v>
      </c>
      <c r="O142" s="45">
        <v>34768.731702124998</v>
      </c>
      <c r="P142" s="118">
        <v>124148.287969875</v>
      </c>
      <c r="Q142" s="126">
        <v>62074</v>
      </c>
      <c r="R142" s="32">
        <f t="shared" ref="R142:R146" si="77">L142+M142+N142+O142+Q142</f>
        <v>129925.712030125</v>
      </c>
      <c r="S142" s="60">
        <f>P142-R142</f>
        <v>-5777.4240602499922</v>
      </c>
      <c r="T142" s="60"/>
      <c r="U142" s="32">
        <f t="shared" ref="U142:U146" si="78">P142-Q142</f>
        <v>62074.287969875004</v>
      </c>
      <c r="V142" s="32">
        <v>62074.29</v>
      </c>
      <c r="W142" s="126"/>
      <c r="X142" s="60"/>
      <c r="Y142" s="60"/>
      <c r="Z142" s="32">
        <f t="shared" ref="Z142:Z146" si="79">U142-(W142+X142+Y142)</f>
        <v>62074.287969875004</v>
      </c>
      <c r="AA142" s="34" t="s">
        <v>197</v>
      </c>
      <c r="AB142" s="127"/>
    </row>
    <row r="143" spans="1:28" ht="15" customHeight="1" x14ac:dyDescent="0.35">
      <c r="A143" s="264"/>
      <c r="B143" s="272"/>
      <c r="C143" s="272"/>
      <c r="D143" s="25" t="s">
        <v>31</v>
      </c>
      <c r="E143" s="50" t="s">
        <v>104</v>
      </c>
      <c r="F143" s="55" t="s">
        <v>28</v>
      </c>
      <c r="G143" s="27" t="s">
        <v>29</v>
      </c>
      <c r="H143" s="27">
        <v>36</v>
      </c>
      <c r="I143" s="45">
        <f>45000/12</f>
        <v>3750</v>
      </c>
      <c r="J143" s="45">
        <v>0</v>
      </c>
      <c r="K143" s="45">
        <v>45000</v>
      </c>
      <c r="L143" s="45">
        <v>0</v>
      </c>
      <c r="M143" s="45"/>
      <c r="N143" s="45"/>
      <c r="O143" s="45">
        <v>0</v>
      </c>
      <c r="P143" s="118">
        <v>0</v>
      </c>
      <c r="Q143" s="126">
        <v>0</v>
      </c>
      <c r="R143" s="32">
        <f t="shared" si="77"/>
        <v>0</v>
      </c>
      <c r="S143" s="60">
        <f>P143-R143</f>
        <v>0</v>
      </c>
      <c r="T143" s="60"/>
      <c r="U143" s="32">
        <f t="shared" si="78"/>
        <v>0</v>
      </c>
      <c r="V143" s="32"/>
      <c r="W143" s="126">
        <v>0</v>
      </c>
      <c r="X143" s="60"/>
      <c r="Y143" s="60"/>
      <c r="Z143" s="32">
        <f t="shared" si="79"/>
        <v>0</v>
      </c>
      <c r="AA143" s="34" t="s">
        <v>198</v>
      </c>
      <c r="AB143" s="127"/>
    </row>
    <row r="144" spans="1:28" ht="15" customHeight="1" x14ac:dyDescent="0.35">
      <c r="A144" s="264"/>
      <c r="B144" s="272"/>
      <c r="C144" s="272"/>
      <c r="D144" s="25" t="s">
        <v>33</v>
      </c>
      <c r="E144" s="50" t="s">
        <v>34</v>
      </c>
      <c r="F144" s="55" t="s">
        <v>28</v>
      </c>
      <c r="G144" s="27" t="s">
        <v>29</v>
      </c>
      <c r="H144" s="27">
        <v>1</v>
      </c>
      <c r="I144" s="45">
        <v>4000</v>
      </c>
      <c r="J144" s="45">
        <v>0</v>
      </c>
      <c r="K144" s="45">
        <v>4000</v>
      </c>
      <c r="L144" s="45"/>
      <c r="M144" s="45"/>
      <c r="N144" s="45"/>
      <c r="O144" s="45">
        <v>0</v>
      </c>
      <c r="P144" s="118">
        <v>0</v>
      </c>
      <c r="Q144" s="126">
        <v>4000</v>
      </c>
      <c r="R144" s="32">
        <f t="shared" si="77"/>
        <v>4000</v>
      </c>
      <c r="S144" s="60">
        <f>P144-R144</f>
        <v>-4000</v>
      </c>
      <c r="T144" s="60"/>
      <c r="U144" s="32">
        <f t="shared" si="78"/>
        <v>-4000</v>
      </c>
      <c r="V144" s="32"/>
      <c r="W144" s="126">
        <v>0</v>
      </c>
      <c r="X144" s="60"/>
      <c r="Y144" s="60"/>
      <c r="Z144" s="32">
        <f t="shared" si="79"/>
        <v>-4000</v>
      </c>
      <c r="AA144" s="34" t="s">
        <v>199</v>
      </c>
      <c r="AB144" s="127"/>
    </row>
    <row r="145" spans="1:28" ht="15" customHeight="1" x14ac:dyDescent="0.35">
      <c r="A145" s="264"/>
      <c r="B145" s="272"/>
      <c r="C145" s="272"/>
      <c r="D145" s="25" t="s">
        <v>17</v>
      </c>
      <c r="E145" s="50" t="s">
        <v>104</v>
      </c>
      <c r="F145" s="55" t="s">
        <v>36</v>
      </c>
      <c r="G145" s="27" t="s">
        <v>55</v>
      </c>
      <c r="H145" s="27">
        <v>3</v>
      </c>
      <c r="I145" s="45">
        <v>3750</v>
      </c>
      <c r="J145" s="45">
        <v>11250</v>
      </c>
      <c r="K145" s="45">
        <v>0</v>
      </c>
      <c r="L145" s="45"/>
      <c r="M145" s="45">
        <v>1881.07</v>
      </c>
      <c r="N145" s="45">
        <v>1055.071902545455</v>
      </c>
      <c r="O145" s="45">
        <v>0</v>
      </c>
      <c r="P145" s="118">
        <v>8313.85</v>
      </c>
      <c r="Q145" s="126">
        <v>8313.85</v>
      </c>
      <c r="R145" s="32">
        <f t="shared" si="77"/>
        <v>11249.991902545455</v>
      </c>
      <c r="S145" s="60">
        <f>P145-R145</f>
        <v>-2936.1419025454543</v>
      </c>
      <c r="T145" s="60"/>
      <c r="U145" s="32">
        <f t="shared" si="78"/>
        <v>0</v>
      </c>
      <c r="V145" s="32"/>
      <c r="W145" s="126"/>
      <c r="X145" s="60"/>
      <c r="Y145" s="60"/>
      <c r="Z145" s="32">
        <f t="shared" si="79"/>
        <v>0</v>
      </c>
      <c r="AA145" s="34" t="s">
        <v>200</v>
      </c>
      <c r="AB145" s="127"/>
    </row>
    <row r="146" spans="1:28" ht="15" customHeight="1" x14ac:dyDescent="0.35">
      <c r="A146" s="264"/>
      <c r="B146" s="272"/>
      <c r="C146" s="272"/>
      <c r="D146" s="25" t="s">
        <v>17</v>
      </c>
      <c r="E146" s="50" t="s">
        <v>104</v>
      </c>
      <c r="F146" s="55" t="s">
        <v>39</v>
      </c>
      <c r="G146" s="27" t="s">
        <v>201</v>
      </c>
      <c r="H146" s="27">
        <v>5</v>
      </c>
      <c r="I146" s="45">
        <f>48000/5</f>
        <v>9600</v>
      </c>
      <c r="J146" s="45">
        <v>48000</v>
      </c>
      <c r="K146" s="45">
        <v>0</v>
      </c>
      <c r="L146" s="45"/>
      <c r="M146" s="45"/>
      <c r="N146" s="45"/>
      <c r="O146" s="45">
        <v>0</v>
      </c>
      <c r="P146" s="118">
        <v>48000</v>
      </c>
      <c r="Q146" s="126">
        <v>48000</v>
      </c>
      <c r="R146" s="32">
        <f t="shared" si="77"/>
        <v>48000</v>
      </c>
      <c r="S146" s="60">
        <f>P146-R146</f>
        <v>0</v>
      </c>
      <c r="T146" s="60"/>
      <c r="U146" s="32">
        <f t="shared" si="78"/>
        <v>0</v>
      </c>
      <c r="V146" s="32"/>
      <c r="W146" s="126">
        <v>15000</v>
      </c>
      <c r="X146" s="60"/>
      <c r="Y146" s="60"/>
      <c r="Z146" s="32">
        <f t="shared" si="79"/>
        <v>-15000</v>
      </c>
      <c r="AA146" s="34" t="s">
        <v>202</v>
      </c>
      <c r="AB146" s="234" t="s">
        <v>1118</v>
      </c>
    </row>
    <row r="147" spans="1:28" ht="15" customHeight="1" x14ac:dyDescent="0.35">
      <c r="A147" s="264"/>
      <c r="B147" s="272"/>
      <c r="C147" s="39"/>
      <c r="D147" s="39"/>
      <c r="E147" s="53"/>
      <c r="F147" s="57"/>
      <c r="G147" s="41"/>
      <c r="H147" s="41"/>
      <c r="I147" s="54"/>
      <c r="J147" s="54">
        <f>SUM(J142:J146)</f>
        <v>251250</v>
      </c>
      <c r="K147" s="54">
        <f t="shared" ref="K147:Z147" si="80">SUM(K142:K146)</f>
        <v>49000</v>
      </c>
      <c r="L147" s="54">
        <f t="shared" si="80"/>
        <v>0</v>
      </c>
      <c r="M147" s="54">
        <v>29773.29</v>
      </c>
      <c r="N147" s="54">
        <v>6245.8322305454512</v>
      </c>
      <c r="O147" s="54">
        <v>34768.731702124998</v>
      </c>
      <c r="P147" s="54">
        <f t="shared" si="80"/>
        <v>180462.13796987501</v>
      </c>
      <c r="Q147" s="54">
        <f t="shared" si="80"/>
        <v>122387.85</v>
      </c>
      <c r="R147" s="54">
        <f t="shared" si="80"/>
        <v>193175.70393267044</v>
      </c>
      <c r="S147" s="54">
        <f t="shared" si="80"/>
        <v>-12713.565962795446</v>
      </c>
      <c r="T147" s="54">
        <f t="shared" si="80"/>
        <v>0</v>
      </c>
      <c r="U147" s="54">
        <f t="shared" si="80"/>
        <v>58074.287969875004</v>
      </c>
      <c r="V147" s="54">
        <f t="shared" si="80"/>
        <v>62074.29</v>
      </c>
      <c r="W147" s="54">
        <f t="shared" si="80"/>
        <v>15000</v>
      </c>
      <c r="X147" s="54">
        <f t="shared" si="80"/>
        <v>0</v>
      </c>
      <c r="Y147" s="54">
        <f t="shared" si="80"/>
        <v>0</v>
      </c>
      <c r="Z147" s="54">
        <f t="shared" si="80"/>
        <v>43074.287969875004</v>
      </c>
      <c r="AA147" s="49"/>
      <c r="AB147" s="128"/>
    </row>
    <row r="148" spans="1:28" ht="15" customHeight="1" x14ac:dyDescent="0.35">
      <c r="A148" s="264"/>
      <c r="B148" s="272"/>
      <c r="C148" s="272" t="s">
        <v>203</v>
      </c>
      <c r="D148" s="25" t="s">
        <v>33</v>
      </c>
      <c r="E148" s="50" t="s">
        <v>34</v>
      </c>
      <c r="F148" s="55" t="s">
        <v>28</v>
      </c>
      <c r="G148" s="27" t="s">
        <v>29</v>
      </c>
      <c r="H148" s="27">
        <v>8</v>
      </c>
      <c r="I148" s="45">
        <f>16000/8</f>
        <v>2000</v>
      </c>
      <c r="J148" s="45">
        <v>0</v>
      </c>
      <c r="K148" s="45">
        <v>16000</v>
      </c>
      <c r="L148" s="45"/>
      <c r="M148" s="45"/>
      <c r="N148" s="45"/>
      <c r="O148" s="45">
        <v>0</v>
      </c>
      <c r="P148" s="118">
        <v>0</v>
      </c>
      <c r="Q148" s="126">
        <v>0</v>
      </c>
      <c r="R148" s="32">
        <f t="shared" ref="R148:R153" si="81">L148+M148+N148+O148+Q148</f>
        <v>0</v>
      </c>
      <c r="S148" s="60">
        <f>P148-R148</f>
        <v>0</v>
      </c>
      <c r="T148" s="60"/>
      <c r="U148" s="32">
        <f t="shared" ref="U148:U153" si="82">P148-Q148</f>
        <v>0</v>
      </c>
      <c r="V148" s="32"/>
      <c r="W148" s="126">
        <v>0</v>
      </c>
      <c r="X148" s="60"/>
      <c r="Y148" s="60"/>
      <c r="Z148" s="32">
        <f t="shared" ref="Z148:Z153" si="83">U148-(W148+X148+Y148)</f>
        <v>0</v>
      </c>
      <c r="AA148" s="34" t="s">
        <v>204</v>
      </c>
      <c r="AB148" s="127"/>
    </row>
    <row r="149" spans="1:28" ht="15" customHeight="1" x14ac:dyDescent="0.35">
      <c r="A149" s="264"/>
      <c r="B149" s="272"/>
      <c r="C149" s="272"/>
      <c r="D149" s="25" t="s">
        <v>17</v>
      </c>
      <c r="E149" s="50" t="s">
        <v>34</v>
      </c>
      <c r="F149" s="55" t="s">
        <v>120</v>
      </c>
      <c r="G149" s="27" t="s">
        <v>58</v>
      </c>
      <c r="H149" s="27">
        <v>40</v>
      </c>
      <c r="I149" s="45">
        <v>250</v>
      </c>
      <c r="J149" s="45">
        <v>10000</v>
      </c>
      <c r="K149" s="45">
        <v>0</v>
      </c>
      <c r="L149" s="45"/>
      <c r="M149" s="45"/>
      <c r="N149" s="45"/>
      <c r="O149" s="45">
        <v>0</v>
      </c>
      <c r="P149" s="118">
        <v>10000</v>
      </c>
      <c r="Q149" s="126">
        <v>0</v>
      </c>
      <c r="R149" s="32">
        <f t="shared" si="81"/>
        <v>0</v>
      </c>
      <c r="S149" s="60">
        <f>P149-R149</f>
        <v>10000</v>
      </c>
      <c r="T149" s="60"/>
      <c r="U149" s="32">
        <f t="shared" si="82"/>
        <v>10000</v>
      </c>
      <c r="V149" s="32"/>
      <c r="W149" s="126">
        <v>0</v>
      </c>
      <c r="X149" s="60">
        <v>5000</v>
      </c>
      <c r="Y149" s="60">
        <v>5000</v>
      </c>
      <c r="Z149" s="32">
        <f t="shared" si="83"/>
        <v>0</v>
      </c>
      <c r="AA149" s="34" t="s">
        <v>205</v>
      </c>
      <c r="AB149" s="234" t="s">
        <v>1096</v>
      </c>
    </row>
    <row r="150" spans="1:28" ht="15" customHeight="1" x14ac:dyDescent="0.35">
      <c r="A150" s="264"/>
      <c r="B150" s="272"/>
      <c r="C150" s="272"/>
      <c r="D150" s="25" t="s">
        <v>17</v>
      </c>
      <c r="E150" s="50" t="s">
        <v>34</v>
      </c>
      <c r="F150" s="55" t="s">
        <v>118</v>
      </c>
      <c r="G150" s="27" t="s">
        <v>86</v>
      </c>
      <c r="H150" s="27">
        <v>1</v>
      </c>
      <c r="I150" s="45">
        <v>20000</v>
      </c>
      <c r="J150" s="45">
        <v>20000</v>
      </c>
      <c r="K150" s="45">
        <v>0</v>
      </c>
      <c r="L150" s="45"/>
      <c r="M150" s="45"/>
      <c r="N150" s="45"/>
      <c r="O150" s="45">
        <v>0</v>
      </c>
      <c r="P150" s="118">
        <v>20000</v>
      </c>
      <c r="Q150" s="126">
        <v>0</v>
      </c>
      <c r="R150" s="32">
        <f t="shared" si="81"/>
        <v>0</v>
      </c>
      <c r="S150" s="60">
        <f>P150-R150</f>
        <v>20000</v>
      </c>
      <c r="T150" s="60"/>
      <c r="U150" s="32">
        <f t="shared" si="82"/>
        <v>20000</v>
      </c>
      <c r="V150" s="32"/>
      <c r="W150" s="126"/>
      <c r="X150" s="60">
        <v>20000</v>
      </c>
      <c r="Y150" s="60"/>
      <c r="Z150" s="32">
        <f t="shared" si="83"/>
        <v>0</v>
      </c>
      <c r="AA150" s="34" t="s">
        <v>206</v>
      </c>
      <c r="AB150" s="127" t="s">
        <v>2</v>
      </c>
    </row>
    <row r="151" spans="1:28" ht="15" customHeight="1" x14ac:dyDescent="0.35">
      <c r="A151" s="264"/>
      <c r="B151" s="272"/>
      <c r="C151" s="272"/>
      <c r="D151" s="25" t="s">
        <v>17</v>
      </c>
      <c r="E151" s="50" t="s">
        <v>161</v>
      </c>
      <c r="F151" s="55" t="s">
        <v>53</v>
      </c>
      <c r="G151" s="27" t="s">
        <v>86</v>
      </c>
      <c r="H151" s="27">
        <v>1</v>
      </c>
      <c r="I151" s="45">
        <v>1025000</v>
      </c>
      <c r="J151" s="45">
        <v>1025000</v>
      </c>
      <c r="K151" s="45">
        <v>0</v>
      </c>
      <c r="L151" s="45"/>
      <c r="M151" s="45"/>
      <c r="N151" s="45"/>
      <c r="O151" s="45">
        <v>27865.34</v>
      </c>
      <c r="P151" s="118">
        <v>997134.66</v>
      </c>
      <c r="Q151" s="126">
        <v>0</v>
      </c>
      <c r="R151" s="32">
        <f t="shared" si="81"/>
        <v>27865.34</v>
      </c>
      <c r="S151" s="60">
        <f>P151-R151</f>
        <v>969269.32000000007</v>
      </c>
      <c r="T151" s="60"/>
      <c r="U151" s="32">
        <f t="shared" si="82"/>
        <v>997134.66</v>
      </c>
      <c r="V151" s="32"/>
      <c r="W151" s="126">
        <v>100000</v>
      </c>
      <c r="X151" s="60">
        <v>250000</v>
      </c>
      <c r="Y151" s="60">
        <v>250000.29</v>
      </c>
      <c r="Z151" s="32">
        <f t="shared" si="83"/>
        <v>397134.37</v>
      </c>
      <c r="AA151" s="34" t="s">
        <v>207</v>
      </c>
      <c r="AB151" s="234" t="s">
        <v>1097</v>
      </c>
    </row>
    <row r="152" spans="1:28" ht="15" customHeight="1" x14ac:dyDescent="0.35">
      <c r="A152" s="264"/>
      <c r="B152" s="272"/>
      <c r="C152" s="272"/>
      <c r="D152" s="129" t="s">
        <v>17</v>
      </c>
      <c r="E152" s="130" t="s">
        <v>161</v>
      </c>
      <c r="F152" s="131" t="s">
        <v>118</v>
      </c>
      <c r="G152" s="132"/>
      <c r="H152" s="132"/>
      <c r="I152" s="138"/>
      <c r="J152" s="138"/>
      <c r="K152" s="138"/>
      <c r="L152" s="138"/>
      <c r="M152" s="138"/>
      <c r="N152" s="138"/>
      <c r="O152" s="138"/>
      <c r="P152" s="138"/>
      <c r="Q152" s="139">
        <v>0</v>
      </c>
      <c r="R152" s="32">
        <f t="shared" si="81"/>
        <v>0</v>
      </c>
      <c r="S152" s="135"/>
      <c r="T152" s="135"/>
      <c r="U152" s="32">
        <f t="shared" si="82"/>
        <v>0</v>
      </c>
      <c r="V152" s="32"/>
      <c r="W152" s="139">
        <v>270000</v>
      </c>
      <c r="X152" s="135"/>
      <c r="Y152" s="135"/>
      <c r="Z152" s="32">
        <f t="shared" si="83"/>
        <v>-270000</v>
      </c>
      <c r="AA152" s="136" t="s">
        <v>208</v>
      </c>
      <c r="AB152" s="137" t="s">
        <v>1119</v>
      </c>
    </row>
    <row r="153" spans="1:28" ht="15" customHeight="1" x14ac:dyDescent="0.35">
      <c r="A153" s="264"/>
      <c r="B153" s="272"/>
      <c r="C153" s="272"/>
      <c r="D153" s="25" t="s">
        <v>17</v>
      </c>
      <c r="E153" s="50" t="s">
        <v>34</v>
      </c>
      <c r="F153" s="55" t="s">
        <v>39</v>
      </c>
      <c r="G153" s="27" t="s">
        <v>40</v>
      </c>
      <c r="H153" s="27">
        <v>2</v>
      </c>
      <c r="I153" s="45">
        <v>1000</v>
      </c>
      <c r="J153" s="45">
        <v>0</v>
      </c>
      <c r="K153" s="45">
        <v>2000</v>
      </c>
      <c r="L153" s="45"/>
      <c r="M153" s="45"/>
      <c r="N153" s="45"/>
      <c r="O153" s="45">
        <v>0</v>
      </c>
      <c r="P153" s="118">
        <v>0</v>
      </c>
      <c r="Q153" s="126"/>
      <c r="R153" s="32">
        <f t="shared" si="81"/>
        <v>0</v>
      </c>
      <c r="S153" s="60">
        <f>P153-R153</f>
        <v>0</v>
      </c>
      <c r="T153" s="60"/>
      <c r="U153" s="32">
        <f t="shared" si="82"/>
        <v>0</v>
      </c>
      <c r="V153" s="32"/>
      <c r="W153" s="126">
        <v>0</v>
      </c>
      <c r="X153" s="60"/>
      <c r="Y153" s="60"/>
      <c r="Z153" s="32">
        <f t="shared" si="83"/>
        <v>0</v>
      </c>
      <c r="AA153" s="34" t="s">
        <v>209</v>
      </c>
      <c r="AB153" s="127"/>
    </row>
    <row r="154" spans="1:28" ht="15" customHeight="1" x14ac:dyDescent="0.35">
      <c r="A154" s="264"/>
      <c r="B154" s="272"/>
      <c r="C154" s="39"/>
      <c r="D154" s="39"/>
      <c r="E154" s="53"/>
      <c r="F154" s="57"/>
      <c r="G154" s="41"/>
      <c r="H154" s="41"/>
      <c r="I154" s="54"/>
      <c r="J154" s="54">
        <f>SUM(J148:J153)</f>
        <v>1055000</v>
      </c>
      <c r="K154" s="54">
        <f t="shared" ref="K154:Z154" si="84">SUM(K148:K153)</f>
        <v>18000</v>
      </c>
      <c r="L154" s="54">
        <f t="shared" si="84"/>
        <v>0</v>
      </c>
      <c r="M154" s="54">
        <v>0</v>
      </c>
      <c r="N154" s="54">
        <v>0</v>
      </c>
      <c r="O154" s="54">
        <v>27865.34</v>
      </c>
      <c r="P154" s="54">
        <f t="shared" si="84"/>
        <v>1027134.66</v>
      </c>
      <c r="Q154" s="54">
        <f t="shared" si="84"/>
        <v>0</v>
      </c>
      <c r="R154" s="54">
        <f t="shared" si="84"/>
        <v>27865.34</v>
      </c>
      <c r="S154" s="54">
        <f t="shared" si="84"/>
        <v>999269.32000000007</v>
      </c>
      <c r="T154" s="54">
        <f t="shared" si="84"/>
        <v>0</v>
      </c>
      <c r="U154" s="54">
        <f t="shared" si="84"/>
        <v>1027134.66</v>
      </c>
      <c r="V154" s="54">
        <f t="shared" si="84"/>
        <v>0</v>
      </c>
      <c r="W154" s="54">
        <f t="shared" si="84"/>
        <v>370000</v>
      </c>
      <c r="X154" s="54">
        <f t="shared" ref="X154:Y154" si="85">SUM(X148:X153)</f>
        <v>275000</v>
      </c>
      <c r="Y154" s="54">
        <f t="shared" si="85"/>
        <v>255000.29</v>
      </c>
      <c r="Z154" s="54">
        <f t="shared" si="84"/>
        <v>127134.37</v>
      </c>
      <c r="AA154" s="49"/>
      <c r="AB154" s="128"/>
    </row>
    <row r="155" spans="1:28" ht="15" customHeight="1" x14ac:dyDescent="0.35">
      <c r="A155" s="264"/>
      <c r="B155" s="272"/>
      <c r="C155" s="272" t="s">
        <v>210</v>
      </c>
      <c r="D155" s="25" t="s">
        <v>17</v>
      </c>
      <c r="E155" s="50" t="s">
        <v>104</v>
      </c>
      <c r="F155" s="55" t="s">
        <v>28</v>
      </c>
      <c r="G155" s="27" t="s">
        <v>29</v>
      </c>
      <c r="H155" s="64" t="s">
        <v>211</v>
      </c>
      <c r="I155" s="45">
        <v>14550</v>
      </c>
      <c r="J155" s="45">
        <v>468000</v>
      </c>
      <c r="K155" s="45">
        <v>0</v>
      </c>
      <c r="L155" s="45"/>
      <c r="M155" s="45">
        <v>72297.77</v>
      </c>
      <c r="N155" s="45">
        <v>38799.394113480041</v>
      </c>
      <c r="O155" s="45">
        <v>196136.70820399135</v>
      </c>
      <c r="P155" s="118">
        <v>160766.12768252857</v>
      </c>
      <c r="Q155" s="126">
        <v>80381.13</v>
      </c>
      <c r="R155" s="32">
        <f t="shared" ref="R155:R159" si="86">L155+M155+N155+O155+Q155</f>
        <v>387615.00231747143</v>
      </c>
      <c r="S155" s="60">
        <f>P155-R155</f>
        <v>-226848.87463494285</v>
      </c>
      <c r="T155" s="60"/>
      <c r="U155" s="32">
        <f t="shared" ref="U155:U159" si="87">P155-Q155</f>
        <v>80384.99768252857</v>
      </c>
      <c r="V155" s="32"/>
      <c r="W155" s="126">
        <v>80381.13</v>
      </c>
      <c r="X155" s="60"/>
      <c r="Y155" s="60"/>
      <c r="Z155" s="32">
        <f t="shared" ref="Z155:Z159" si="88">U155-(W155+X155+Y155)</f>
        <v>3.8676825285656378</v>
      </c>
      <c r="AA155" s="34" t="s">
        <v>212</v>
      </c>
      <c r="AB155" s="127"/>
    </row>
    <row r="156" spans="1:28" ht="15" customHeight="1" x14ac:dyDescent="0.35">
      <c r="A156" s="264"/>
      <c r="B156" s="272"/>
      <c r="C156" s="272"/>
      <c r="D156" s="25" t="s">
        <v>31</v>
      </c>
      <c r="E156" s="50" t="s">
        <v>104</v>
      </c>
      <c r="F156" s="55" t="s">
        <v>28</v>
      </c>
      <c r="G156" s="27" t="s">
        <v>29</v>
      </c>
      <c r="H156" s="64" t="s">
        <v>211</v>
      </c>
      <c r="I156" s="45">
        <f>112000/32.16</f>
        <v>3482.5870646766175</v>
      </c>
      <c r="J156" s="45">
        <v>0</v>
      </c>
      <c r="K156" s="45">
        <v>112000</v>
      </c>
      <c r="L156" s="45">
        <v>0</v>
      </c>
      <c r="M156" s="45"/>
      <c r="N156" s="45"/>
      <c r="O156" s="45">
        <v>0</v>
      </c>
      <c r="P156" s="118">
        <v>0</v>
      </c>
      <c r="Q156" s="126">
        <v>0</v>
      </c>
      <c r="R156" s="32">
        <f t="shared" si="86"/>
        <v>0</v>
      </c>
      <c r="S156" s="60">
        <f>P156-R156</f>
        <v>0</v>
      </c>
      <c r="T156" s="60"/>
      <c r="U156" s="32">
        <f t="shared" si="87"/>
        <v>0</v>
      </c>
      <c r="V156" s="32"/>
      <c r="W156" s="126"/>
      <c r="X156" s="60"/>
      <c r="Y156" s="60"/>
      <c r="Z156" s="32">
        <f t="shared" si="88"/>
        <v>0</v>
      </c>
      <c r="AA156" s="34" t="s">
        <v>213</v>
      </c>
      <c r="AB156" s="127"/>
    </row>
    <row r="157" spans="1:28" ht="15" customHeight="1" x14ac:dyDescent="0.35">
      <c r="A157" s="264"/>
      <c r="B157" s="272"/>
      <c r="C157" s="272"/>
      <c r="D157" s="25" t="s">
        <v>33</v>
      </c>
      <c r="E157" s="50" t="s">
        <v>34</v>
      </c>
      <c r="F157" s="55" t="s">
        <v>28</v>
      </c>
      <c r="G157" s="27" t="s">
        <v>29</v>
      </c>
      <c r="H157" s="65" t="s">
        <v>214</v>
      </c>
      <c r="I157" s="45">
        <v>2000</v>
      </c>
      <c r="J157" s="45">
        <v>0</v>
      </c>
      <c r="K157" s="45">
        <v>8000</v>
      </c>
      <c r="L157" s="45"/>
      <c r="M157" s="45"/>
      <c r="N157" s="45"/>
      <c r="O157" s="45">
        <v>0</v>
      </c>
      <c r="P157" s="118">
        <v>0</v>
      </c>
      <c r="Q157" s="126">
        <v>8000</v>
      </c>
      <c r="R157" s="32">
        <f t="shared" si="86"/>
        <v>8000</v>
      </c>
      <c r="S157" s="60">
        <f>P157-R157</f>
        <v>-8000</v>
      </c>
      <c r="T157" s="60"/>
      <c r="U157" s="32">
        <f t="shared" si="87"/>
        <v>-8000</v>
      </c>
      <c r="V157" s="32"/>
      <c r="W157" s="126"/>
      <c r="X157" s="60"/>
      <c r="Y157" s="60"/>
      <c r="Z157" s="32">
        <f t="shared" si="88"/>
        <v>-8000</v>
      </c>
      <c r="AA157" s="34" t="s">
        <v>215</v>
      </c>
      <c r="AB157" s="127"/>
    </row>
    <row r="158" spans="1:28" ht="15" customHeight="1" x14ac:dyDescent="0.35">
      <c r="A158" s="264"/>
      <c r="B158" s="272"/>
      <c r="C158" s="272"/>
      <c r="D158" s="25" t="s">
        <v>17</v>
      </c>
      <c r="E158" s="50" t="s">
        <v>104</v>
      </c>
      <c r="F158" s="55" t="s">
        <v>36</v>
      </c>
      <c r="G158" s="27" t="s">
        <v>55</v>
      </c>
      <c r="H158" s="64" t="s">
        <v>216</v>
      </c>
      <c r="I158" s="45">
        <v>3750</v>
      </c>
      <c r="J158" s="45">
        <v>30000</v>
      </c>
      <c r="K158" s="45">
        <v>0</v>
      </c>
      <c r="L158" s="45"/>
      <c r="M158" s="45">
        <v>3762.15</v>
      </c>
      <c r="N158" s="45">
        <v>1055.071902545455</v>
      </c>
      <c r="O158" s="45">
        <v>0</v>
      </c>
      <c r="P158" s="118">
        <v>25182.778097454546</v>
      </c>
      <c r="Q158" s="126">
        <v>25182.78</v>
      </c>
      <c r="R158" s="32">
        <f t="shared" si="86"/>
        <v>30000.001902545453</v>
      </c>
      <c r="S158" s="60">
        <f>P158-R158</f>
        <v>-4817.2238050909073</v>
      </c>
      <c r="T158" s="60"/>
      <c r="U158" s="32">
        <f t="shared" si="87"/>
        <v>-1.9025454530492425E-3</v>
      </c>
      <c r="V158" s="32"/>
      <c r="W158" s="126"/>
      <c r="X158" s="60"/>
      <c r="Y158" s="60"/>
      <c r="Z158" s="32">
        <f t="shared" si="88"/>
        <v>-1.9025454530492425E-3</v>
      </c>
      <c r="AA158" s="34" t="s">
        <v>217</v>
      </c>
      <c r="AB158" s="127"/>
    </row>
    <row r="159" spans="1:28" ht="15" customHeight="1" x14ac:dyDescent="0.35">
      <c r="A159" s="264"/>
      <c r="B159" s="272"/>
      <c r="C159" s="272"/>
      <c r="D159" s="25" t="s">
        <v>17</v>
      </c>
      <c r="E159" s="50" t="s">
        <v>104</v>
      </c>
      <c r="F159" s="55" t="s">
        <v>39</v>
      </c>
      <c r="G159" s="27" t="s">
        <v>40</v>
      </c>
      <c r="H159" s="27">
        <v>3</v>
      </c>
      <c r="I159" s="45">
        <v>9600</v>
      </c>
      <c r="J159" s="45">
        <v>28500</v>
      </c>
      <c r="K159" s="45">
        <v>0</v>
      </c>
      <c r="L159" s="45"/>
      <c r="M159" s="45"/>
      <c r="N159" s="45"/>
      <c r="O159" s="45">
        <v>0</v>
      </c>
      <c r="P159" s="118">
        <v>28500</v>
      </c>
      <c r="Q159" s="126">
        <v>28500</v>
      </c>
      <c r="R159" s="32">
        <f t="shared" si="86"/>
        <v>28500</v>
      </c>
      <c r="S159" s="60">
        <f>P159-R159</f>
        <v>0</v>
      </c>
      <c r="T159" s="60"/>
      <c r="U159" s="32">
        <f t="shared" si="87"/>
        <v>0</v>
      </c>
      <c r="V159" s="32"/>
      <c r="W159" s="126"/>
      <c r="X159" s="60"/>
      <c r="Y159" s="60"/>
      <c r="Z159" s="32">
        <f t="shared" si="88"/>
        <v>0</v>
      </c>
      <c r="AA159" s="34" t="s">
        <v>218</v>
      </c>
      <c r="AB159" s="127"/>
    </row>
    <row r="160" spans="1:28" ht="15" customHeight="1" x14ac:dyDescent="0.35">
      <c r="A160" s="264"/>
      <c r="B160" s="272"/>
      <c r="C160" s="39"/>
      <c r="D160" s="39"/>
      <c r="E160" s="53"/>
      <c r="F160" s="57"/>
      <c r="G160" s="41"/>
      <c r="H160" s="41"/>
      <c r="I160" s="54"/>
      <c r="J160" s="54">
        <f>SUM(J155:J159)</f>
        <v>526500</v>
      </c>
      <c r="K160" s="54">
        <f t="shared" ref="K160:Z160" si="89">SUM(K155:K159)</f>
        <v>120000</v>
      </c>
      <c r="L160" s="54">
        <f t="shared" si="89"/>
        <v>0</v>
      </c>
      <c r="M160" s="54">
        <v>76059.92</v>
      </c>
      <c r="N160" s="54">
        <v>39854.466016025493</v>
      </c>
      <c r="O160" s="54">
        <v>196136.70820399135</v>
      </c>
      <c r="P160" s="54">
        <f t="shared" si="89"/>
        <v>214448.90577998312</v>
      </c>
      <c r="Q160" s="54">
        <f t="shared" si="89"/>
        <v>142063.91</v>
      </c>
      <c r="R160" s="54">
        <f t="shared" si="89"/>
        <v>454115.00422001688</v>
      </c>
      <c r="S160" s="54">
        <f t="shared" si="89"/>
        <v>-239666.09844003376</v>
      </c>
      <c r="T160" s="54">
        <f t="shared" si="89"/>
        <v>0</v>
      </c>
      <c r="U160" s="54">
        <f t="shared" si="89"/>
        <v>72384.995779983117</v>
      </c>
      <c r="V160" s="54">
        <f t="shared" si="89"/>
        <v>0</v>
      </c>
      <c r="W160" s="54">
        <f t="shared" si="89"/>
        <v>80381.13</v>
      </c>
      <c r="X160" s="54">
        <f t="shared" si="89"/>
        <v>0</v>
      </c>
      <c r="Y160" s="54">
        <f t="shared" ref="Y160" si="90">SUM(Y155:Y159)</f>
        <v>0</v>
      </c>
      <c r="Z160" s="54">
        <f t="shared" si="89"/>
        <v>-7996.1342200168874</v>
      </c>
      <c r="AA160" s="49"/>
      <c r="AB160" s="128"/>
    </row>
    <row r="161" spans="1:28" ht="15" customHeight="1" x14ac:dyDescent="0.35">
      <c r="A161" s="264"/>
      <c r="B161" s="272"/>
      <c r="C161" s="272" t="s">
        <v>219</v>
      </c>
      <c r="D161" s="25" t="s">
        <v>17</v>
      </c>
      <c r="E161" s="50" t="s">
        <v>104</v>
      </c>
      <c r="F161" s="55" t="s">
        <v>28</v>
      </c>
      <c r="G161" s="27" t="s">
        <v>29</v>
      </c>
      <c r="H161" s="27">
        <v>6</v>
      </c>
      <c r="I161" s="45">
        <v>6583.3333400000001</v>
      </c>
      <c r="J161" s="45">
        <v>225000.00004000001</v>
      </c>
      <c r="K161" s="45">
        <v>0</v>
      </c>
      <c r="L161" s="45"/>
      <c r="M161" s="45">
        <v>31433.58</v>
      </c>
      <c r="N161" s="45">
        <v>39777.580278480011</v>
      </c>
      <c r="O161" s="45">
        <v>92807.774563466635</v>
      </c>
      <c r="P161" s="118">
        <v>60981.065198053373</v>
      </c>
      <c r="Q161" s="126">
        <v>60981.07</v>
      </c>
      <c r="R161" s="32">
        <f t="shared" ref="R161:R164" si="91">L161+M161+N161+O161+Q161</f>
        <v>225000.00484194665</v>
      </c>
      <c r="S161" s="60">
        <f>P161-R161</f>
        <v>-164018.93964389327</v>
      </c>
      <c r="T161" s="60"/>
      <c r="U161" s="32">
        <f t="shared" ref="U161:U164" si="92">P161-Q161</f>
        <v>-4.8019466266850941E-3</v>
      </c>
      <c r="V161" s="32"/>
      <c r="W161" s="126"/>
      <c r="X161" s="60"/>
      <c r="Y161" s="60"/>
      <c r="Z161" s="32">
        <f t="shared" ref="Z161:Z164" si="93">U161-(W161+X161+Y161)</f>
        <v>-4.8019466266850941E-3</v>
      </c>
      <c r="AA161" s="34" t="s">
        <v>220</v>
      </c>
      <c r="AB161" s="127"/>
    </row>
    <row r="162" spans="1:28" ht="15" customHeight="1" x14ac:dyDescent="0.35">
      <c r="A162" s="264"/>
      <c r="B162" s="272"/>
      <c r="C162" s="272"/>
      <c r="D162" s="25" t="s">
        <v>31</v>
      </c>
      <c r="E162" s="50" t="s">
        <v>104</v>
      </c>
      <c r="F162" s="55" t="s">
        <v>28</v>
      </c>
      <c r="G162" s="27" t="s">
        <v>29</v>
      </c>
      <c r="H162" s="27">
        <v>6</v>
      </c>
      <c r="I162" s="45">
        <v>7500</v>
      </c>
      <c r="J162" s="45">
        <v>0</v>
      </c>
      <c r="K162" s="45">
        <v>45000</v>
      </c>
      <c r="L162" s="45">
        <v>0</v>
      </c>
      <c r="M162" s="45"/>
      <c r="N162" s="45"/>
      <c r="O162" s="45">
        <v>0</v>
      </c>
      <c r="P162" s="118">
        <v>0</v>
      </c>
      <c r="Q162" s="126">
        <v>0</v>
      </c>
      <c r="R162" s="32">
        <f t="shared" si="91"/>
        <v>0</v>
      </c>
      <c r="S162" s="60">
        <f>P162-R162</f>
        <v>0</v>
      </c>
      <c r="T162" s="60"/>
      <c r="U162" s="32">
        <f t="shared" si="92"/>
        <v>0</v>
      </c>
      <c r="V162" s="32"/>
      <c r="W162" s="126"/>
      <c r="X162" s="60"/>
      <c r="Y162" s="60"/>
      <c r="Z162" s="32">
        <f t="shared" si="93"/>
        <v>0</v>
      </c>
      <c r="AA162" s="34" t="s">
        <v>221</v>
      </c>
      <c r="AB162" s="127"/>
    </row>
    <row r="163" spans="1:28" ht="15" customHeight="1" x14ac:dyDescent="0.35">
      <c r="A163" s="264"/>
      <c r="B163" s="272"/>
      <c r="C163" s="272"/>
      <c r="D163" s="25" t="s">
        <v>33</v>
      </c>
      <c r="E163" s="50" t="s">
        <v>34</v>
      </c>
      <c r="F163" s="55" t="s">
        <v>28</v>
      </c>
      <c r="G163" s="27" t="s">
        <v>29</v>
      </c>
      <c r="H163" s="27">
        <v>4</v>
      </c>
      <c r="I163" s="45">
        <v>1000</v>
      </c>
      <c r="J163" s="45">
        <v>0</v>
      </c>
      <c r="K163" s="45">
        <v>4000</v>
      </c>
      <c r="L163" s="45"/>
      <c r="M163" s="45"/>
      <c r="N163" s="45"/>
      <c r="O163" s="45">
        <v>0</v>
      </c>
      <c r="P163" s="118">
        <v>0</v>
      </c>
      <c r="Q163" s="126">
        <v>4000</v>
      </c>
      <c r="R163" s="32">
        <f t="shared" si="91"/>
        <v>4000</v>
      </c>
      <c r="S163" s="60">
        <f>P163-R163</f>
        <v>-4000</v>
      </c>
      <c r="T163" s="60"/>
      <c r="U163" s="32">
        <f t="shared" si="92"/>
        <v>-4000</v>
      </c>
      <c r="V163" s="32"/>
      <c r="W163" s="126"/>
      <c r="X163" s="60"/>
      <c r="Y163" s="60"/>
      <c r="Z163" s="32">
        <f t="shared" si="93"/>
        <v>-4000</v>
      </c>
      <c r="AA163" s="34" t="s">
        <v>222</v>
      </c>
      <c r="AB163" s="127"/>
    </row>
    <row r="164" spans="1:28" ht="15" customHeight="1" x14ac:dyDescent="0.35">
      <c r="A164" s="264"/>
      <c r="B164" s="272"/>
      <c r="C164" s="272"/>
      <c r="D164" s="25" t="s">
        <v>17</v>
      </c>
      <c r="E164" s="50" t="s">
        <v>104</v>
      </c>
      <c r="F164" s="55" t="s">
        <v>36</v>
      </c>
      <c r="G164" s="27" t="s">
        <v>55</v>
      </c>
      <c r="H164" s="27">
        <v>1</v>
      </c>
      <c r="I164" s="45">
        <v>3750</v>
      </c>
      <c r="J164" s="45">
        <v>15000</v>
      </c>
      <c r="K164" s="45">
        <v>0</v>
      </c>
      <c r="L164" s="45"/>
      <c r="M164" s="45">
        <v>1881.07</v>
      </c>
      <c r="N164" s="45">
        <v>1055.071902545455</v>
      </c>
      <c r="O164" s="45">
        <v>0</v>
      </c>
      <c r="P164" s="118">
        <v>12063.858097454544</v>
      </c>
      <c r="Q164" s="126">
        <v>12063.85</v>
      </c>
      <c r="R164" s="32">
        <f t="shared" si="91"/>
        <v>14999.991902545455</v>
      </c>
      <c r="S164" s="60">
        <f>P164-R164</f>
        <v>-2936.1338050909108</v>
      </c>
      <c r="T164" s="60"/>
      <c r="U164" s="32">
        <f t="shared" si="92"/>
        <v>8.0974545435310574E-3</v>
      </c>
      <c r="V164" s="32"/>
      <c r="W164" s="126"/>
      <c r="X164" s="60"/>
      <c r="Y164" s="60"/>
      <c r="Z164" s="32">
        <f t="shared" si="93"/>
        <v>8.0974545435310574E-3</v>
      </c>
      <c r="AA164" s="34" t="s">
        <v>223</v>
      </c>
      <c r="AB164" s="127"/>
    </row>
    <row r="165" spans="1:28" ht="15" customHeight="1" x14ac:dyDescent="0.35">
      <c r="A165" s="264"/>
      <c r="B165" s="272"/>
      <c r="C165" s="39"/>
      <c r="D165" s="39"/>
      <c r="E165" s="53"/>
      <c r="F165" s="57"/>
      <c r="G165" s="41"/>
      <c r="H165" s="41"/>
      <c r="I165" s="54"/>
      <c r="J165" s="54">
        <f>SUM(J161:J164)</f>
        <v>240000.00004000001</v>
      </c>
      <c r="K165" s="54">
        <f t="shared" ref="K165:Z165" si="94">SUM(K161:K164)</f>
        <v>49000</v>
      </c>
      <c r="L165" s="54">
        <f t="shared" si="94"/>
        <v>0</v>
      </c>
      <c r="M165" s="54">
        <v>33314.65</v>
      </c>
      <c r="N165" s="54">
        <v>40832.652181025464</v>
      </c>
      <c r="O165" s="54">
        <v>92807.774563466635</v>
      </c>
      <c r="P165" s="54">
        <f t="shared" si="94"/>
        <v>73044.923295507921</v>
      </c>
      <c r="Q165" s="54">
        <f t="shared" si="94"/>
        <v>77044.92</v>
      </c>
      <c r="R165" s="54">
        <f t="shared" si="94"/>
        <v>243999.99674449209</v>
      </c>
      <c r="S165" s="54">
        <f t="shared" si="94"/>
        <v>-170955.07344898419</v>
      </c>
      <c r="T165" s="54">
        <f t="shared" si="94"/>
        <v>0</v>
      </c>
      <c r="U165" s="54">
        <f t="shared" si="94"/>
        <v>-3999.9967044920832</v>
      </c>
      <c r="V165" s="54">
        <f t="shared" si="94"/>
        <v>0</v>
      </c>
      <c r="W165" s="54">
        <f t="shared" si="94"/>
        <v>0</v>
      </c>
      <c r="X165" s="54">
        <f t="shared" si="94"/>
        <v>0</v>
      </c>
      <c r="Y165" s="54">
        <f t="shared" si="94"/>
        <v>0</v>
      </c>
      <c r="Z165" s="54">
        <f t="shared" si="94"/>
        <v>-3999.9967044920832</v>
      </c>
      <c r="AA165" s="49"/>
      <c r="AB165" s="128"/>
    </row>
    <row r="166" spans="1:28" ht="15" customHeight="1" x14ac:dyDescent="0.35">
      <c r="A166" s="264"/>
      <c r="B166" s="272"/>
      <c r="C166" s="272" t="s">
        <v>224</v>
      </c>
      <c r="D166" s="25" t="s">
        <v>17</v>
      </c>
      <c r="E166" s="50" t="s">
        <v>104</v>
      </c>
      <c r="F166" s="55" t="s">
        <v>28</v>
      </c>
      <c r="G166" s="27" t="s">
        <v>29</v>
      </c>
      <c r="H166" s="27">
        <v>34.18</v>
      </c>
      <c r="I166" s="45">
        <v>6583.3333400000001</v>
      </c>
      <c r="J166" s="45">
        <v>225000</v>
      </c>
      <c r="K166" s="45">
        <v>0</v>
      </c>
      <c r="L166" s="45"/>
      <c r="M166" s="45">
        <v>32209.54</v>
      </c>
      <c r="N166" s="45">
        <v>6041.6264672000061</v>
      </c>
      <c r="O166" s="45">
        <v>17286.205515924998</v>
      </c>
      <c r="P166" s="118">
        <v>169462.62801687501</v>
      </c>
      <c r="Q166" s="126">
        <v>84730</v>
      </c>
      <c r="R166" s="32">
        <f t="shared" ref="R166:R171" si="95">L166+M166+N166+O166+Q166</f>
        <v>140267.37198312499</v>
      </c>
      <c r="S166" s="60">
        <f t="shared" ref="S166:S171" si="96">P166-R166</f>
        <v>29195.256033750018</v>
      </c>
      <c r="T166" s="60"/>
      <c r="U166" s="32">
        <f t="shared" ref="U166:U171" si="97">P166-Q166</f>
        <v>84732.628016875009</v>
      </c>
      <c r="V166" s="32"/>
      <c r="W166" s="126">
        <v>84732.63</v>
      </c>
      <c r="X166" s="60"/>
      <c r="Y166" s="60"/>
      <c r="Z166" s="32">
        <f t="shared" ref="Z166:Z171" si="98">U166-(W166+X166+Y166)</f>
        <v>-1.9831249956041574E-3</v>
      </c>
      <c r="AA166" s="34" t="s">
        <v>225</v>
      </c>
      <c r="AB166" s="127"/>
    </row>
    <row r="167" spans="1:28" ht="15" customHeight="1" x14ac:dyDescent="0.35">
      <c r="A167" s="264"/>
      <c r="B167" s="272"/>
      <c r="C167" s="272"/>
      <c r="D167" s="25" t="s">
        <v>31</v>
      </c>
      <c r="E167" s="50" t="s">
        <v>104</v>
      </c>
      <c r="F167" s="55" t="s">
        <v>28</v>
      </c>
      <c r="G167" s="27" t="s">
        <v>29</v>
      </c>
      <c r="H167" s="27">
        <v>34.18</v>
      </c>
      <c r="I167" s="45">
        <f>45000/H167</f>
        <v>1316.5593914569924</v>
      </c>
      <c r="J167" s="45">
        <v>0</v>
      </c>
      <c r="K167" s="45">
        <v>45000</v>
      </c>
      <c r="L167" s="45">
        <v>0</v>
      </c>
      <c r="M167" s="45"/>
      <c r="N167" s="45"/>
      <c r="O167" s="45">
        <v>0</v>
      </c>
      <c r="P167" s="118">
        <v>0</v>
      </c>
      <c r="Q167" s="126">
        <v>0</v>
      </c>
      <c r="R167" s="32">
        <f t="shared" si="95"/>
        <v>0</v>
      </c>
      <c r="S167" s="60">
        <f t="shared" si="96"/>
        <v>0</v>
      </c>
      <c r="T167" s="60"/>
      <c r="U167" s="32">
        <f t="shared" si="97"/>
        <v>0</v>
      </c>
      <c r="V167" s="32"/>
      <c r="W167" s="126"/>
      <c r="X167" s="60"/>
      <c r="Y167" s="60"/>
      <c r="Z167" s="32">
        <f t="shared" si="98"/>
        <v>0</v>
      </c>
      <c r="AA167" s="34" t="s">
        <v>226</v>
      </c>
      <c r="AB167" s="127"/>
    </row>
    <row r="168" spans="1:28" ht="15" customHeight="1" x14ac:dyDescent="0.35">
      <c r="A168" s="264"/>
      <c r="B168" s="272"/>
      <c r="C168" s="272"/>
      <c r="D168" s="25" t="s">
        <v>33</v>
      </c>
      <c r="E168" s="50" t="s">
        <v>34</v>
      </c>
      <c r="F168" s="55" t="s">
        <v>28</v>
      </c>
      <c r="G168" s="27" t="s">
        <v>29</v>
      </c>
      <c r="H168" s="27">
        <v>1.5</v>
      </c>
      <c r="I168" s="45">
        <f>4000/3</f>
        <v>1333.3333333333333</v>
      </c>
      <c r="J168" s="45">
        <v>0</v>
      </c>
      <c r="K168" s="45">
        <v>4000</v>
      </c>
      <c r="L168" s="45"/>
      <c r="M168" s="45"/>
      <c r="N168" s="45"/>
      <c r="O168" s="45">
        <v>0</v>
      </c>
      <c r="P168" s="118">
        <v>0</v>
      </c>
      <c r="Q168" s="126">
        <v>4000</v>
      </c>
      <c r="R168" s="32">
        <f t="shared" si="95"/>
        <v>4000</v>
      </c>
      <c r="S168" s="60">
        <f t="shared" si="96"/>
        <v>-4000</v>
      </c>
      <c r="T168" s="60"/>
      <c r="U168" s="32">
        <f t="shared" si="97"/>
        <v>-4000</v>
      </c>
      <c r="V168" s="32"/>
      <c r="W168" s="126"/>
      <c r="X168" s="60"/>
      <c r="Y168" s="60"/>
      <c r="Z168" s="32">
        <f t="shared" si="98"/>
        <v>-4000</v>
      </c>
      <c r="AA168" s="34" t="s">
        <v>227</v>
      </c>
      <c r="AB168" s="127"/>
    </row>
    <row r="169" spans="1:28" ht="15" customHeight="1" x14ac:dyDescent="0.35">
      <c r="A169" s="264"/>
      <c r="B169" s="272"/>
      <c r="C169" s="272"/>
      <c r="D169" s="25" t="s">
        <v>17</v>
      </c>
      <c r="E169" s="50" t="s">
        <v>161</v>
      </c>
      <c r="F169" s="55" t="s">
        <v>57</v>
      </c>
      <c r="G169" s="27" t="s">
        <v>86</v>
      </c>
      <c r="H169" s="27">
        <v>1</v>
      </c>
      <c r="I169" s="45">
        <v>9950</v>
      </c>
      <c r="J169" s="45">
        <v>9950</v>
      </c>
      <c r="K169" s="45">
        <v>0</v>
      </c>
      <c r="L169" s="45">
        <v>0</v>
      </c>
      <c r="M169" s="45">
        <v>9950</v>
      </c>
      <c r="N169" s="45"/>
      <c r="O169" s="45">
        <v>0</v>
      </c>
      <c r="P169" s="118">
        <v>0</v>
      </c>
      <c r="Q169" s="126">
        <v>0</v>
      </c>
      <c r="R169" s="32">
        <f t="shared" si="95"/>
        <v>9950</v>
      </c>
      <c r="S169" s="60">
        <f t="shared" si="96"/>
        <v>-9950</v>
      </c>
      <c r="T169" s="60"/>
      <c r="U169" s="32">
        <f t="shared" si="97"/>
        <v>0</v>
      </c>
      <c r="V169" s="32"/>
      <c r="W169" s="126"/>
      <c r="X169" s="60"/>
      <c r="Y169" s="60"/>
      <c r="Z169" s="32">
        <f t="shared" si="98"/>
        <v>0</v>
      </c>
      <c r="AA169" s="34" t="s">
        <v>228</v>
      </c>
      <c r="AB169" s="127"/>
    </row>
    <row r="170" spans="1:28" ht="15" customHeight="1" x14ac:dyDescent="0.35">
      <c r="A170" s="264"/>
      <c r="B170" s="272"/>
      <c r="C170" s="272"/>
      <c r="D170" s="25" t="s">
        <v>17</v>
      </c>
      <c r="E170" s="50" t="s">
        <v>104</v>
      </c>
      <c r="F170" s="55" t="s">
        <v>36</v>
      </c>
      <c r="G170" s="27" t="s">
        <v>55</v>
      </c>
      <c r="H170" s="27">
        <v>4</v>
      </c>
      <c r="I170" s="45">
        <v>3750</v>
      </c>
      <c r="J170" s="45">
        <v>15000</v>
      </c>
      <c r="K170" s="45">
        <v>0</v>
      </c>
      <c r="L170" s="45"/>
      <c r="M170" s="45">
        <v>1881.07</v>
      </c>
      <c r="N170" s="45">
        <v>1055.071902545455</v>
      </c>
      <c r="O170" s="45">
        <v>0</v>
      </c>
      <c r="P170" s="118">
        <v>12063.85</v>
      </c>
      <c r="Q170" s="126">
        <v>12063.85</v>
      </c>
      <c r="R170" s="32">
        <f t="shared" si="95"/>
        <v>14999.991902545455</v>
      </c>
      <c r="S170" s="60">
        <f t="shared" si="96"/>
        <v>-2936.1419025454543</v>
      </c>
      <c r="T170" s="60"/>
      <c r="U170" s="32">
        <f t="shared" si="97"/>
        <v>0</v>
      </c>
      <c r="V170" s="32"/>
      <c r="W170" s="126"/>
      <c r="X170" s="60"/>
      <c r="Y170" s="60"/>
      <c r="Z170" s="32">
        <f t="shared" si="98"/>
        <v>0</v>
      </c>
      <c r="AA170" s="34" t="s">
        <v>229</v>
      </c>
      <c r="AB170" s="127"/>
    </row>
    <row r="171" spans="1:28" ht="15" customHeight="1" x14ac:dyDescent="0.35">
      <c r="A171" s="264"/>
      <c r="B171" s="272"/>
      <c r="C171" s="272"/>
      <c r="D171" s="25" t="s">
        <v>17</v>
      </c>
      <c r="E171" s="50" t="s">
        <v>104</v>
      </c>
      <c r="F171" s="55" t="s">
        <v>39</v>
      </c>
      <c r="G171" s="27" t="s">
        <v>40</v>
      </c>
      <c r="H171" s="27">
        <v>3</v>
      </c>
      <c r="I171" s="35">
        <v>4500</v>
      </c>
      <c r="J171" s="35">
        <v>13500</v>
      </c>
      <c r="K171" s="35">
        <v>0</v>
      </c>
      <c r="L171" s="35"/>
      <c r="M171" s="35"/>
      <c r="N171" s="35"/>
      <c r="O171" s="35">
        <v>0</v>
      </c>
      <c r="P171" s="114">
        <v>13500</v>
      </c>
      <c r="Q171" s="126">
        <v>13500</v>
      </c>
      <c r="R171" s="32">
        <f t="shared" si="95"/>
        <v>13500</v>
      </c>
      <c r="S171" s="60">
        <f t="shared" si="96"/>
        <v>0</v>
      </c>
      <c r="T171" s="60"/>
      <c r="U171" s="32">
        <f t="shared" si="97"/>
        <v>0</v>
      </c>
      <c r="V171" s="32"/>
      <c r="W171" s="126"/>
      <c r="X171" s="60"/>
      <c r="Y171" s="60"/>
      <c r="Z171" s="32">
        <f t="shared" si="98"/>
        <v>0</v>
      </c>
      <c r="AA171" s="34" t="s">
        <v>230</v>
      </c>
      <c r="AB171" s="127"/>
    </row>
    <row r="172" spans="1:28" ht="15" customHeight="1" x14ac:dyDescent="0.35">
      <c r="A172" s="264"/>
      <c r="B172" s="272"/>
      <c r="C172" s="39"/>
      <c r="D172" s="39"/>
      <c r="E172" s="53"/>
      <c r="F172" s="57"/>
      <c r="G172" s="41"/>
      <c r="H172" s="41"/>
      <c r="I172" s="42"/>
      <c r="J172" s="42">
        <f>SUM(J166:J171)</f>
        <v>263450</v>
      </c>
      <c r="K172" s="42">
        <f t="shared" ref="K172:Z172" si="99">SUM(K166:K171)</f>
        <v>49000</v>
      </c>
      <c r="L172" s="42">
        <f t="shared" si="99"/>
        <v>0</v>
      </c>
      <c r="M172" s="42">
        <v>44040.61</v>
      </c>
      <c r="N172" s="42">
        <v>7096.6983697454616</v>
      </c>
      <c r="O172" s="42">
        <v>17286.205515924998</v>
      </c>
      <c r="P172" s="42">
        <f t="shared" si="99"/>
        <v>195026.47801687501</v>
      </c>
      <c r="Q172" s="42">
        <f t="shared" si="99"/>
        <v>114293.85</v>
      </c>
      <c r="R172" s="42">
        <f t="shared" si="99"/>
        <v>182717.36388567043</v>
      </c>
      <c r="S172" s="42">
        <f t="shared" si="99"/>
        <v>12309.114131204564</v>
      </c>
      <c r="T172" s="42">
        <f t="shared" si="99"/>
        <v>0</v>
      </c>
      <c r="U172" s="42">
        <f t="shared" si="99"/>
        <v>80732.628016875009</v>
      </c>
      <c r="V172" s="42">
        <f t="shared" si="99"/>
        <v>0</v>
      </c>
      <c r="W172" s="42">
        <f t="shared" si="99"/>
        <v>84732.63</v>
      </c>
      <c r="X172" s="42">
        <f t="shared" si="99"/>
        <v>0</v>
      </c>
      <c r="Y172" s="42">
        <f t="shared" si="99"/>
        <v>0</v>
      </c>
      <c r="Z172" s="42">
        <f t="shared" si="99"/>
        <v>-4000.0019831249956</v>
      </c>
      <c r="AA172" s="49"/>
      <c r="AB172" s="128"/>
    </row>
    <row r="173" spans="1:28" ht="15" customHeight="1" x14ac:dyDescent="0.35">
      <c r="A173" s="264"/>
      <c r="B173" s="272"/>
      <c r="C173" s="272" t="s">
        <v>231</v>
      </c>
      <c r="D173" s="25" t="s">
        <v>17</v>
      </c>
      <c r="E173" s="50" t="s">
        <v>232</v>
      </c>
      <c r="F173" s="55" t="s">
        <v>118</v>
      </c>
      <c r="G173" s="27" t="s">
        <v>86</v>
      </c>
      <c r="H173" s="27">
        <v>1</v>
      </c>
      <c r="I173" s="35">
        <v>260800</v>
      </c>
      <c r="J173" s="35">
        <v>260800</v>
      </c>
      <c r="K173" s="35">
        <v>0</v>
      </c>
      <c r="L173" s="35"/>
      <c r="M173" s="35">
        <v>44325.42</v>
      </c>
      <c r="N173" s="35">
        <v>0</v>
      </c>
      <c r="O173" s="35">
        <v>64271.78</v>
      </c>
      <c r="P173" s="114">
        <v>152202.79999999999</v>
      </c>
      <c r="Q173" s="126">
        <v>152202.79999999999</v>
      </c>
      <c r="R173" s="32">
        <f t="shared" ref="R173:R176" si="100">L173+M173+N173+O173+Q173</f>
        <v>260800</v>
      </c>
      <c r="S173" s="60">
        <f>P173-R173</f>
        <v>-108597.20000000001</v>
      </c>
      <c r="T173" s="60"/>
      <c r="U173" s="32">
        <f t="shared" ref="U173:U176" si="101">P173-Q173</f>
        <v>0</v>
      </c>
      <c r="V173" s="32"/>
      <c r="W173" s="126">
        <v>30800</v>
      </c>
      <c r="X173" s="60"/>
      <c r="Y173" s="60"/>
      <c r="Z173" s="32">
        <f t="shared" ref="Z173:Z176" si="102">U173-(W173+X173+Y173)</f>
        <v>-30800</v>
      </c>
      <c r="AA173" s="34" t="s">
        <v>233</v>
      </c>
      <c r="AB173" s="127"/>
    </row>
    <row r="174" spans="1:28" ht="15" customHeight="1" x14ac:dyDescent="0.35">
      <c r="A174" s="264"/>
      <c r="B174" s="272"/>
      <c r="C174" s="272"/>
      <c r="D174" s="25" t="s">
        <v>17</v>
      </c>
      <c r="E174" s="50" t="s">
        <v>232</v>
      </c>
      <c r="F174" s="55" t="s">
        <v>118</v>
      </c>
      <c r="G174" s="27" t="s">
        <v>86</v>
      </c>
      <c r="H174" s="27">
        <v>1</v>
      </c>
      <c r="I174" s="35">
        <v>40000</v>
      </c>
      <c r="J174" s="35">
        <v>40000</v>
      </c>
      <c r="K174" s="35">
        <v>0</v>
      </c>
      <c r="L174" s="35"/>
      <c r="M174" s="35">
        <v>33204.959999999999</v>
      </c>
      <c r="N174" s="35">
        <v>0</v>
      </c>
      <c r="O174" s="35">
        <v>0</v>
      </c>
      <c r="P174" s="114">
        <v>6795.0400000000009</v>
      </c>
      <c r="Q174" s="126">
        <v>28502.47</v>
      </c>
      <c r="R174" s="32">
        <f t="shared" si="100"/>
        <v>61707.43</v>
      </c>
      <c r="S174" s="60">
        <f>P174-R174</f>
        <v>-54912.39</v>
      </c>
      <c r="T174" s="60"/>
      <c r="U174" s="32">
        <f t="shared" si="101"/>
        <v>-21707.43</v>
      </c>
      <c r="V174" s="32"/>
      <c r="W174" s="126">
        <v>0</v>
      </c>
      <c r="X174" s="60"/>
      <c r="Y174" s="60"/>
      <c r="Z174" s="32">
        <f t="shared" si="102"/>
        <v>-21707.43</v>
      </c>
      <c r="AA174" s="34" t="s">
        <v>234</v>
      </c>
      <c r="AB174" s="127"/>
    </row>
    <row r="175" spans="1:28" ht="15" customHeight="1" x14ac:dyDescent="0.35">
      <c r="A175" s="264"/>
      <c r="B175" s="272"/>
      <c r="C175" s="272"/>
      <c r="D175" s="25" t="s">
        <v>17</v>
      </c>
      <c r="E175" s="50" t="s">
        <v>232</v>
      </c>
      <c r="F175" s="55" t="s">
        <v>69</v>
      </c>
      <c r="G175" s="27" t="s">
        <v>55</v>
      </c>
      <c r="H175" s="27">
        <v>35</v>
      </c>
      <c r="I175" s="45">
        <v>350</v>
      </c>
      <c r="J175" s="45">
        <v>12450</v>
      </c>
      <c r="K175" s="45">
        <v>0</v>
      </c>
      <c r="L175" s="45"/>
      <c r="M175" s="45"/>
      <c r="N175" s="45">
        <v>0</v>
      </c>
      <c r="O175" s="45">
        <v>621.60899559997824</v>
      </c>
      <c r="P175" s="118">
        <v>11828.391004400022</v>
      </c>
      <c r="Q175" s="126">
        <v>0</v>
      </c>
      <c r="R175" s="32">
        <f t="shared" si="100"/>
        <v>621.60899559997824</v>
      </c>
      <c r="S175" s="60">
        <f>P175-R175</f>
        <v>11206.782008800044</v>
      </c>
      <c r="T175" s="60"/>
      <c r="U175" s="32">
        <f t="shared" si="101"/>
        <v>11828.391004400022</v>
      </c>
      <c r="V175" s="32"/>
      <c r="W175" s="126">
        <v>2450</v>
      </c>
      <c r="X175" s="60"/>
      <c r="Y175" s="60"/>
      <c r="Z175" s="32">
        <f t="shared" si="102"/>
        <v>9378.3910044000222</v>
      </c>
      <c r="AA175" s="34" t="s">
        <v>235</v>
      </c>
      <c r="AB175" s="127"/>
    </row>
    <row r="176" spans="1:28" ht="15" customHeight="1" x14ac:dyDescent="0.35">
      <c r="A176" s="264"/>
      <c r="B176" s="272"/>
      <c r="C176" s="272"/>
      <c r="D176" s="25" t="s">
        <v>17</v>
      </c>
      <c r="E176" s="50" t="s">
        <v>232</v>
      </c>
      <c r="F176" s="55" t="s">
        <v>118</v>
      </c>
      <c r="G176" s="27" t="s">
        <v>86</v>
      </c>
      <c r="H176" s="27">
        <v>1</v>
      </c>
      <c r="I176" s="45">
        <v>18000</v>
      </c>
      <c r="J176" s="45">
        <v>18000</v>
      </c>
      <c r="K176" s="45">
        <v>0</v>
      </c>
      <c r="L176" s="45"/>
      <c r="M176" s="45"/>
      <c r="N176" s="45">
        <v>0</v>
      </c>
      <c r="O176" s="45">
        <v>0</v>
      </c>
      <c r="P176" s="118">
        <v>18000</v>
      </c>
      <c r="Q176" s="126">
        <v>0</v>
      </c>
      <c r="R176" s="32">
        <f t="shared" si="100"/>
        <v>0</v>
      </c>
      <c r="S176" s="60">
        <f>P176-R176</f>
        <v>18000</v>
      </c>
      <c r="T176" s="60"/>
      <c r="U176" s="32">
        <f t="shared" si="101"/>
        <v>18000</v>
      </c>
      <c r="V176" s="32"/>
      <c r="W176" s="126">
        <v>6000</v>
      </c>
      <c r="X176" s="60"/>
      <c r="Y176" s="60"/>
      <c r="Z176" s="32">
        <f t="shared" si="102"/>
        <v>12000</v>
      </c>
      <c r="AA176" s="34" t="s">
        <v>236</v>
      </c>
      <c r="AB176" s="127"/>
    </row>
    <row r="177" spans="1:28" ht="15" customHeight="1" x14ac:dyDescent="0.35">
      <c r="A177" s="264"/>
      <c r="B177" s="272"/>
      <c r="C177" s="39"/>
      <c r="D177" s="39"/>
      <c r="E177" s="53"/>
      <c r="F177" s="57"/>
      <c r="G177" s="41"/>
      <c r="H177" s="41"/>
      <c r="I177" s="54"/>
      <c r="J177" s="54">
        <f>SUM(J173:J176)</f>
        <v>331250</v>
      </c>
      <c r="K177" s="54">
        <f t="shared" ref="K177:Z177" si="103">SUM(K173:K176)</f>
        <v>0</v>
      </c>
      <c r="L177" s="54">
        <f t="shared" si="103"/>
        <v>0</v>
      </c>
      <c r="M177" s="54">
        <v>77530.38</v>
      </c>
      <c r="N177" s="54">
        <v>0</v>
      </c>
      <c r="O177" s="54">
        <v>64893.388995599977</v>
      </c>
      <c r="P177" s="54">
        <f t="shared" si="103"/>
        <v>188826.2310044</v>
      </c>
      <c r="Q177" s="54">
        <f t="shared" si="103"/>
        <v>180705.27</v>
      </c>
      <c r="R177" s="54">
        <f t="shared" si="103"/>
        <v>323129.03899559996</v>
      </c>
      <c r="S177" s="54">
        <f t="shared" si="103"/>
        <v>-134302.80799119998</v>
      </c>
      <c r="T177" s="54">
        <f t="shared" si="103"/>
        <v>0</v>
      </c>
      <c r="U177" s="54">
        <f t="shared" si="103"/>
        <v>8120.9610044000219</v>
      </c>
      <c r="V177" s="54">
        <f t="shared" si="103"/>
        <v>0</v>
      </c>
      <c r="W177" s="54">
        <f t="shared" si="103"/>
        <v>39250</v>
      </c>
      <c r="X177" s="54">
        <f>SUM(X173:X176)</f>
        <v>0</v>
      </c>
      <c r="Y177" s="54">
        <f t="shared" si="103"/>
        <v>0</v>
      </c>
      <c r="Z177" s="54">
        <f t="shared" si="103"/>
        <v>-31129.038995599978</v>
      </c>
      <c r="AA177" s="49"/>
      <c r="AB177" s="128"/>
    </row>
    <row r="178" spans="1:28" ht="15" customHeight="1" x14ac:dyDescent="0.35">
      <c r="A178" s="264"/>
      <c r="B178" s="272"/>
      <c r="C178" s="272" t="s">
        <v>237</v>
      </c>
      <c r="D178" s="25" t="s">
        <v>17</v>
      </c>
      <c r="E178" s="50" t="s">
        <v>232</v>
      </c>
      <c r="F178" s="55" t="s">
        <v>28</v>
      </c>
      <c r="G178" s="27" t="s">
        <v>29</v>
      </c>
      <c r="H178" s="27">
        <v>32</v>
      </c>
      <c r="I178" s="45">
        <v>2300</v>
      </c>
      <c r="J178" s="45">
        <v>73800</v>
      </c>
      <c r="K178" s="45">
        <v>0</v>
      </c>
      <c r="L178" s="45"/>
      <c r="M178" s="45">
        <v>8862.7999999999993</v>
      </c>
      <c r="N178" s="45">
        <v>1345.45</v>
      </c>
      <c r="O178" s="45">
        <v>14361.355567845099</v>
      </c>
      <c r="P178" s="118">
        <v>49230.394432154899</v>
      </c>
      <c r="Q178" s="126">
        <v>49230.39</v>
      </c>
      <c r="R178" s="32">
        <f t="shared" ref="R178:R193" si="104">L178+M178+N178+O178+Q178</f>
        <v>73799.995567845093</v>
      </c>
      <c r="S178" s="60">
        <f t="shared" ref="S178:S193" si="105">P178-R178</f>
        <v>-24569.601135690194</v>
      </c>
      <c r="T178" s="60"/>
      <c r="U178" s="32">
        <f t="shared" ref="U178:U193" si="106">P178-Q178</f>
        <v>4.4321548994048499E-3</v>
      </c>
      <c r="V178" s="32"/>
      <c r="W178" s="126"/>
      <c r="X178" s="60"/>
      <c r="Y178" s="60"/>
      <c r="Z178" s="32">
        <f t="shared" ref="Z178:Z193" si="107">U178-(W178+X178+Y178)</f>
        <v>4.4321548994048499E-3</v>
      </c>
      <c r="AA178" s="34" t="s">
        <v>238</v>
      </c>
      <c r="AB178" s="127"/>
    </row>
    <row r="179" spans="1:28" ht="15" customHeight="1" x14ac:dyDescent="0.35">
      <c r="A179" s="264"/>
      <c r="B179" s="272"/>
      <c r="C179" s="272"/>
      <c r="D179" s="25" t="s">
        <v>17</v>
      </c>
      <c r="E179" s="50" t="s">
        <v>232</v>
      </c>
      <c r="F179" s="55" t="s">
        <v>120</v>
      </c>
      <c r="G179" s="27" t="s">
        <v>58</v>
      </c>
      <c r="H179" s="27">
        <v>40</v>
      </c>
      <c r="I179" s="45">
        <v>250</v>
      </c>
      <c r="J179" s="45">
        <v>10000</v>
      </c>
      <c r="K179" s="45">
        <v>0</v>
      </c>
      <c r="L179" s="45"/>
      <c r="M179" s="45"/>
      <c r="N179" s="45">
        <v>7987.1900000000005</v>
      </c>
      <c r="O179" s="45">
        <v>0</v>
      </c>
      <c r="P179" s="118">
        <v>2012.8099999999995</v>
      </c>
      <c r="Q179" s="126">
        <v>2012.81</v>
      </c>
      <c r="R179" s="32">
        <f t="shared" si="104"/>
        <v>10000</v>
      </c>
      <c r="S179" s="60">
        <f t="shared" si="105"/>
        <v>-7987.1900000000005</v>
      </c>
      <c r="T179" s="60"/>
      <c r="U179" s="32">
        <f t="shared" si="106"/>
        <v>0</v>
      </c>
      <c r="V179" s="32"/>
      <c r="W179" s="126"/>
      <c r="X179" s="60"/>
      <c r="Y179" s="60"/>
      <c r="Z179" s="32">
        <f t="shared" si="107"/>
        <v>0</v>
      </c>
      <c r="AA179" s="34" t="s">
        <v>239</v>
      </c>
      <c r="AB179" s="127"/>
    </row>
    <row r="180" spans="1:28" ht="15" customHeight="1" x14ac:dyDescent="0.35">
      <c r="A180" s="264"/>
      <c r="B180" s="272"/>
      <c r="C180" s="272"/>
      <c r="D180" s="25" t="s">
        <v>17</v>
      </c>
      <c r="E180" s="50" t="s">
        <v>232</v>
      </c>
      <c r="F180" s="55" t="s">
        <v>57</v>
      </c>
      <c r="G180" s="27" t="s">
        <v>58</v>
      </c>
      <c r="H180" s="27">
        <v>50</v>
      </c>
      <c r="I180" s="45">
        <v>600</v>
      </c>
      <c r="J180" s="45">
        <v>30000</v>
      </c>
      <c r="K180" s="45">
        <v>0</v>
      </c>
      <c r="L180" s="45"/>
      <c r="M180" s="45"/>
      <c r="N180" s="45"/>
      <c r="O180" s="45">
        <v>1497.53</v>
      </c>
      <c r="P180" s="118">
        <v>28502.47</v>
      </c>
      <c r="Q180" s="126">
        <v>28502.47</v>
      </c>
      <c r="R180" s="32">
        <f t="shared" si="104"/>
        <v>30000</v>
      </c>
      <c r="S180" s="60">
        <f t="shared" si="105"/>
        <v>-1497.5299999999988</v>
      </c>
      <c r="T180" s="60"/>
      <c r="U180" s="32">
        <f t="shared" si="106"/>
        <v>0</v>
      </c>
      <c r="V180" s="32"/>
      <c r="W180" s="126"/>
      <c r="X180" s="60"/>
      <c r="Y180" s="60"/>
      <c r="Z180" s="32">
        <f t="shared" si="107"/>
        <v>0</v>
      </c>
      <c r="AA180" s="34" t="s">
        <v>240</v>
      </c>
      <c r="AB180" s="127"/>
    </row>
    <row r="181" spans="1:28" ht="15" customHeight="1" x14ac:dyDescent="0.35">
      <c r="A181" s="264"/>
      <c r="B181" s="272"/>
      <c r="C181" s="272"/>
      <c r="D181" s="25" t="s">
        <v>17</v>
      </c>
      <c r="E181" s="50" t="s">
        <v>232</v>
      </c>
      <c r="F181" s="55" t="s">
        <v>57</v>
      </c>
      <c r="G181" s="27" t="s">
        <v>58</v>
      </c>
      <c r="H181" s="27">
        <v>50</v>
      </c>
      <c r="I181" s="45">
        <v>600</v>
      </c>
      <c r="J181" s="45">
        <v>30000</v>
      </c>
      <c r="K181" s="45">
        <v>0</v>
      </c>
      <c r="L181" s="45"/>
      <c r="M181" s="45"/>
      <c r="N181" s="45"/>
      <c r="O181" s="45">
        <v>0</v>
      </c>
      <c r="P181" s="118">
        <v>30000</v>
      </c>
      <c r="Q181" s="126">
        <v>30000</v>
      </c>
      <c r="R181" s="32">
        <f t="shared" si="104"/>
        <v>30000</v>
      </c>
      <c r="S181" s="60">
        <f t="shared" si="105"/>
        <v>0</v>
      </c>
      <c r="T181" s="60"/>
      <c r="U181" s="32">
        <f t="shared" si="106"/>
        <v>0</v>
      </c>
      <c r="V181" s="32"/>
      <c r="W181" s="126"/>
      <c r="X181" s="60"/>
      <c r="Y181" s="60"/>
      <c r="Z181" s="32">
        <f t="shared" si="107"/>
        <v>0</v>
      </c>
      <c r="AA181" s="34" t="s">
        <v>241</v>
      </c>
      <c r="AB181" s="127"/>
    </row>
    <row r="182" spans="1:28" ht="15" customHeight="1" x14ac:dyDescent="0.35">
      <c r="A182" s="264"/>
      <c r="B182" s="272"/>
      <c r="C182" s="272"/>
      <c r="D182" s="25" t="s">
        <v>17</v>
      </c>
      <c r="E182" s="50" t="s">
        <v>232</v>
      </c>
      <c r="F182" s="55" t="s">
        <v>61</v>
      </c>
      <c r="G182" s="27" t="s">
        <v>62</v>
      </c>
      <c r="H182" s="27">
        <v>4</v>
      </c>
      <c r="I182" s="45">
        <v>5000</v>
      </c>
      <c r="J182" s="45">
        <v>20000</v>
      </c>
      <c r="K182" s="45">
        <v>0</v>
      </c>
      <c r="L182" s="45"/>
      <c r="M182" s="45">
        <v>11504.78</v>
      </c>
      <c r="N182" s="45">
        <v>222.66</v>
      </c>
      <c r="O182" s="45">
        <v>0</v>
      </c>
      <c r="P182" s="118">
        <v>8272.56</v>
      </c>
      <c r="Q182" s="126">
        <v>8272.57</v>
      </c>
      <c r="R182" s="32">
        <f t="shared" si="104"/>
        <v>20000.010000000002</v>
      </c>
      <c r="S182" s="60">
        <f t="shared" si="105"/>
        <v>-11727.450000000003</v>
      </c>
      <c r="T182" s="60"/>
      <c r="U182" s="32">
        <f t="shared" si="106"/>
        <v>-1.0000000000218279E-2</v>
      </c>
      <c r="V182" s="32"/>
      <c r="W182" s="126"/>
      <c r="X182" s="60"/>
      <c r="Y182" s="60"/>
      <c r="Z182" s="32">
        <f t="shared" si="107"/>
        <v>-1.0000000000218279E-2</v>
      </c>
      <c r="AA182" s="34" t="s">
        <v>242</v>
      </c>
      <c r="AB182" s="127"/>
    </row>
    <row r="183" spans="1:28" ht="15" customHeight="1" x14ac:dyDescent="0.35">
      <c r="A183" s="264"/>
      <c r="B183" s="272"/>
      <c r="C183" s="272"/>
      <c r="D183" s="25" t="s">
        <v>17</v>
      </c>
      <c r="E183" s="50" t="s">
        <v>232</v>
      </c>
      <c r="F183" s="55" t="s">
        <v>36</v>
      </c>
      <c r="G183" s="27" t="s">
        <v>55</v>
      </c>
      <c r="H183" s="27">
        <v>1</v>
      </c>
      <c r="I183" s="45">
        <v>10000</v>
      </c>
      <c r="J183" s="45">
        <v>40000</v>
      </c>
      <c r="K183" s="45">
        <v>0</v>
      </c>
      <c r="L183" s="45"/>
      <c r="M183" s="45">
        <v>25964.400000000001</v>
      </c>
      <c r="N183" s="45">
        <v>123.79</v>
      </c>
      <c r="O183" s="45">
        <v>0</v>
      </c>
      <c r="P183" s="118">
        <v>13911.809999999998</v>
      </c>
      <c r="Q183" s="126">
        <v>13911.81</v>
      </c>
      <c r="R183" s="32">
        <f t="shared" si="104"/>
        <v>40000</v>
      </c>
      <c r="S183" s="60">
        <f t="shared" si="105"/>
        <v>-26088.190000000002</v>
      </c>
      <c r="T183" s="60"/>
      <c r="U183" s="32">
        <f t="shared" si="106"/>
        <v>0</v>
      </c>
      <c r="V183" s="32"/>
      <c r="W183" s="126">
        <v>10000</v>
      </c>
      <c r="X183" s="60"/>
      <c r="Y183" s="60"/>
      <c r="Z183" s="32">
        <f t="shared" si="107"/>
        <v>-10000</v>
      </c>
      <c r="AA183" s="34" t="s">
        <v>243</v>
      </c>
      <c r="AB183" s="127"/>
    </row>
    <row r="184" spans="1:28" ht="15" customHeight="1" x14ac:dyDescent="0.35">
      <c r="A184" s="264"/>
      <c r="B184" s="272"/>
      <c r="C184" s="272"/>
      <c r="D184" s="25" t="s">
        <v>17</v>
      </c>
      <c r="E184" s="50" t="s">
        <v>232</v>
      </c>
      <c r="F184" s="55" t="s">
        <v>36</v>
      </c>
      <c r="G184" s="27" t="s">
        <v>55</v>
      </c>
      <c r="H184" s="27">
        <v>1</v>
      </c>
      <c r="I184" s="45">
        <v>19000</v>
      </c>
      <c r="J184" s="45">
        <v>19000</v>
      </c>
      <c r="K184" s="45">
        <v>0</v>
      </c>
      <c r="L184" s="45"/>
      <c r="M184" s="45"/>
      <c r="N184" s="45">
        <v>11282.8</v>
      </c>
      <c r="O184" s="45">
        <v>0</v>
      </c>
      <c r="P184" s="118">
        <v>7717.2000000000007</v>
      </c>
      <c r="Q184" s="126">
        <v>7717.2000000000007</v>
      </c>
      <c r="R184" s="32">
        <f t="shared" si="104"/>
        <v>19000</v>
      </c>
      <c r="S184" s="60">
        <f t="shared" si="105"/>
        <v>-11282.8</v>
      </c>
      <c r="T184" s="60"/>
      <c r="U184" s="32">
        <f t="shared" si="106"/>
        <v>0</v>
      </c>
      <c r="V184" s="32"/>
      <c r="W184" s="126"/>
      <c r="X184" s="60"/>
      <c r="Y184" s="60"/>
      <c r="Z184" s="32">
        <f t="shared" si="107"/>
        <v>0</v>
      </c>
      <c r="AA184" s="34" t="s">
        <v>244</v>
      </c>
      <c r="AB184" s="127"/>
    </row>
    <row r="185" spans="1:28" ht="15" customHeight="1" x14ac:dyDescent="0.35">
      <c r="A185" s="264"/>
      <c r="B185" s="272"/>
      <c r="C185" s="272"/>
      <c r="D185" s="25" t="s">
        <v>17</v>
      </c>
      <c r="E185" s="50" t="s">
        <v>232</v>
      </c>
      <c r="F185" s="55" t="s">
        <v>120</v>
      </c>
      <c r="G185" s="27" t="s">
        <v>86</v>
      </c>
      <c r="H185" s="27">
        <v>1</v>
      </c>
      <c r="I185" s="45">
        <v>9000</v>
      </c>
      <c r="J185" s="45">
        <v>9000</v>
      </c>
      <c r="K185" s="45">
        <v>0</v>
      </c>
      <c r="L185" s="45"/>
      <c r="M185" s="45"/>
      <c r="N185" s="45"/>
      <c r="O185" s="45">
        <v>0</v>
      </c>
      <c r="P185" s="118">
        <v>9000</v>
      </c>
      <c r="Q185" s="126">
        <v>9000</v>
      </c>
      <c r="R185" s="32">
        <f t="shared" si="104"/>
        <v>9000</v>
      </c>
      <c r="S185" s="60">
        <f t="shared" si="105"/>
        <v>0</v>
      </c>
      <c r="T185" s="60"/>
      <c r="U185" s="32">
        <f t="shared" si="106"/>
        <v>0</v>
      </c>
      <c r="V185" s="32"/>
      <c r="W185" s="126">
        <v>3000</v>
      </c>
      <c r="X185" s="60"/>
      <c r="Y185" s="60"/>
      <c r="Z185" s="32">
        <f t="shared" si="107"/>
        <v>-3000</v>
      </c>
      <c r="AA185" s="34" t="s">
        <v>245</v>
      </c>
      <c r="AB185" s="127"/>
    </row>
    <row r="186" spans="1:28" ht="15" customHeight="1" x14ac:dyDescent="0.35">
      <c r="A186" s="264"/>
      <c r="B186" s="272"/>
      <c r="C186" s="272"/>
      <c r="D186" s="25" t="s">
        <v>17</v>
      </c>
      <c r="E186" s="50" t="s">
        <v>232</v>
      </c>
      <c r="F186" s="55" t="s">
        <v>120</v>
      </c>
      <c r="G186" s="27" t="s">
        <v>86</v>
      </c>
      <c r="H186" s="27">
        <v>1</v>
      </c>
      <c r="I186" s="45">
        <v>54500</v>
      </c>
      <c r="J186" s="45">
        <v>54500</v>
      </c>
      <c r="K186" s="45">
        <v>0</v>
      </c>
      <c r="L186" s="45"/>
      <c r="M186" s="45"/>
      <c r="N186" s="45"/>
      <c r="O186" s="45">
        <v>0</v>
      </c>
      <c r="P186" s="118">
        <v>54500</v>
      </c>
      <c r="Q186" s="126">
        <v>54500</v>
      </c>
      <c r="R186" s="32">
        <f t="shared" si="104"/>
        <v>54500</v>
      </c>
      <c r="S186" s="60">
        <f t="shared" si="105"/>
        <v>0</v>
      </c>
      <c r="T186" s="60"/>
      <c r="U186" s="32">
        <f t="shared" si="106"/>
        <v>0</v>
      </c>
      <c r="V186" s="32"/>
      <c r="W186" s="126"/>
      <c r="X186" s="60"/>
      <c r="Y186" s="60"/>
      <c r="Z186" s="32">
        <f t="shared" si="107"/>
        <v>0</v>
      </c>
      <c r="AA186" s="34" t="s">
        <v>246</v>
      </c>
      <c r="AB186" s="127"/>
    </row>
    <row r="187" spans="1:28" ht="15" customHeight="1" x14ac:dyDescent="0.35">
      <c r="A187" s="264"/>
      <c r="B187" s="272"/>
      <c r="C187" s="272"/>
      <c r="D187" s="25" t="s">
        <v>17</v>
      </c>
      <c r="E187" s="50" t="s">
        <v>232</v>
      </c>
      <c r="F187" s="55" t="s">
        <v>57</v>
      </c>
      <c r="G187" s="27" t="s">
        <v>86</v>
      </c>
      <c r="H187" s="27">
        <v>1</v>
      </c>
      <c r="I187" s="45">
        <v>17000</v>
      </c>
      <c r="J187" s="45">
        <v>17000</v>
      </c>
      <c r="K187" s="45">
        <v>0</v>
      </c>
      <c r="L187" s="45"/>
      <c r="M187" s="45"/>
      <c r="N187" s="45"/>
      <c r="O187" s="45">
        <v>0</v>
      </c>
      <c r="P187" s="118">
        <v>17000</v>
      </c>
      <c r="Q187" s="126">
        <v>17000</v>
      </c>
      <c r="R187" s="32">
        <f t="shared" si="104"/>
        <v>17000</v>
      </c>
      <c r="S187" s="60">
        <f t="shared" si="105"/>
        <v>0</v>
      </c>
      <c r="T187" s="60"/>
      <c r="U187" s="32">
        <f t="shared" si="106"/>
        <v>0</v>
      </c>
      <c r="V187" s="32"/>
      <c r="W187" s="126">
        <v>3000</v>
      </c>
      <c r="X187" s="60"/>
      <c r="Y187" s="60"/>
      <c r="Z187" s="32">
        <f t="shared" si="107"/>
        <v>-3000</v>
      </c>
      <c r="AA187" s="34" t="s">
        <v>247</v>
      </c>
      <c r="AB187" s="127"/>
    </row>
    <row r="188" spans="1:28" ht="15" customHeight="1" x14ac:dyDescent="0.35">
      <c r="A188" s="264"/>
      <c r="B188" s="272"/>
      <c r="C188" s="272"/>
      <c r="D188" s="25" t="s">
        <v>17</v>
      </c>
      <c r="E188" s="50" t="s">
        <v>232</v>
      </c>
      <c r="F188" s="55" t="s">
        <v>39</v>
      </c>
      <c r="G188" s="27" t="s">
        <v>40</v>
      </c>
      <c r="H188" s="27">
        <v>1</v>
      </c>
      <c r="I188" s="45">
        <v>11000</v>
      </c>
      <c r="J188" s="45">
        <v>11000</v>
      </c>
      <c r="K188" s="45">
        <v>0</v>
      </c>
      <c r="L188" s="45"/>
      <c r="M188" s="45"/>
      <c r="N188" s="45">
        <v>0</v>
      </c>
      <c r="O188" s="45">
        <v>0</v>
      </c>
      <c r="P188" s="118">
        <v>11000</v>
      </c>
      <c r="Q188" s="126">
        <v>11000</v>
      </c>
      <c r="R188" s="32">
        <f t="shared" si="104"/>
        <v>11000</v>
      </c>
      <c r="S188" s="60">
        <f t="shared" si="105"/>
        <v>0</v>
      </c>
      <c r="T188" s="60"/>
      <c r="U188" s="32">
        <f t="shared" si="106"/>
        <v>0</v>
      </c>
      <c r="V188" s="32"/>
      <c r="W188" s="126"/>
      <c r="X188" s="60"/>
      <c r="Y188" s="60"/>
      <c r="Z188" s="32">
        <f t="shared" si="107"/>
        <v>0</v>
      </c>
      <c r="AA188" s="34" t="s">
        <v>248</v>
      </c>
      <c r="AB188" s="127"/>
    </row>
    <row r="189" spans="1:28" ht="15" customHeight="1" x14ac:dyDescent="0.35">
      <c r="A189" s="264"/>
      <c r="B189" s="272"/>
      <c r="C189" s="272"/>
      <c r="D189" s="25" t="s">
        <v>17</v>
      </c>
      <c r="E189" s="50" t="s">
        <v>232</v>
      </c>
      <c r="F189" s="55" t="s">
        <v>69</v>
      </c>
      <c r="G189" s="27" t="s">
        <v>55</v>
      </c>
      <c r="H189" s="27">
        <v>8</v>
      </c>
      <c r="I189" s="45">
        <v>250</v>
      </c>
      <c r="J189" s="45">
        <v>6000</v>
      </c>
      <c r="K189" s="45">
        <v>0</v>
      </c>
      <c r="L189" s="45"/>
      <c r="M189" s="45"/>
      <c r="N189" s="45"/>
      <c r="O189" s="45">
        <v>0</v>
      </c>
      <c r="P189" s="118">
        <v>6000</v>
      </c>
      <c r="Q189" s="126">
        <v>6000</v>
      </c>
      <c r="R189" s="32">
        <f t="shared" si="104"/>
        <v>6000</v>
      </c>
      <c r="S189" s="60">
        <f t="shared" si="105"/>
        <v>0</v>
      </c>
      <c r="T189" s="60"/>
      <c r="U189" s="32">
        <f t="shared" si="106"/>
        <v>0</v>
      </c>
      <c r="V189" s="32"/>
      <c r="W189" s="126">
        <v>2000</v>
      </c>
      <c r="X189" s="60"/>
      <c r="Y189" s="60"/>
      <c r="Z189" s="32">
        <f t="shared" si="107"/>
        <v>-2000</v>
      </c>
      <c r="AA189" s="34" t="s">
        <v>249</v>
      </c>
      <c r="AB189" s="127"/>
    </row>
    <row r="190" spans="1:28" ht="15" customHeight="1" x14ac:dyDescent="0.35">
      <c r="A190" s="264"/>
      <c r="B190" s="272"/>
      <c r="C190" s="272"/>
      <c r="D190" s="25" t="s">
        <v>17</v>
      </c>
      <c r="E190" s="50" t="s">
        <v>232</v>
      </c>
      <c r="F190" s="55" t="s">
        <v>39</v>
      </c>
      <c r="G190" s="27" t="s">
        <v>40</v>
      </c>
      <c r="H190" s="27">
        <v>1</v>
      </c>
      <c r="I190" s="45">
        <v>11600</v>
      </c>
      <c r="J190" s="45">
        <v>11600</v>
      </c>
      <c r="K190" s="45">
        <v>0</v>
      </c>
      <c r="L190" s="45"/>
      <c r="M190" s="45"/>
      <c r="N190" s="45">
        <v>1005.02</v>
      </c>
      <c r="O190" s="45">
        <v>0</v>
      </c>
      <c r="P190" s="118">
        <v>10594.98</v>
      </c>
      <c r="Q190" s="126">
        <v>10594.98</v>
      </c>
      <c r="R190" s="32">
        <f t="shared" si="104"/>
        <v>11600</v>
      </c>
      <c r="S190" s="60">
        <f t="shared" si="105"/>
        <v>-1005.0200000000004</v>
      </c>
      <c r="T190" s="60"/>
      <c r="U190" s="32">
        <f t="shared" si="106"/>
        <v>0</v>
      </c>
      <c r="V190" s="32"/>
      <c r="W190" s="126"/>
      <c r="X190" s="60"/>
      <c r="Y190" s="60"/>
      <c r="Z190" s="32">
        <f t="shared" si="107"/>
        <v>0</v>
      </c>
      <c r="AA190" s="34" t="s">
        <v>250</v>
      </c>
      <c r="AB190" s="127"/>
    </row>
    <row r="191" spans="1:28" ht="15" customHeight="1" x14ac:dyDescent="0.35">
      <c r="A191" s="264"/>
      <c r="B191" s="272"/>
      <c r="C191" s="272"/>
      <c r="D191" s="25" t="s">
        <v>17</v>
      </c>
      <c r="E191" s="50" t="s">
        <v>232</v>
      </c>
      <c r="F191" s="55" t="s">
        <v>36</v>
      </c>
      <c r="G191" s="27" t="s">
        <v>55</v>
      </c>
      <c r="H191" s="27">
        <v>1</v>
      </c>
      <c r="I191" s="45">
        <v>23750</v>
      </c>
      <c r="J191" s="45">
        <v>23750</v>
      </c>
      <c r="K191" s="45">
        <v>0</v>
      </c>
      <c r="L191" s="45"/>
      <c r="M191" s="45"/>
      <c r="N191" s="45"/>
      <c r="O191" s="45">
        <v>0</v>
      </c>
      <c r="P191" s="118">
        <v>23750</v>
      </c>
      <c r="Q191" s="126">
        <v>23750</v>
      </c>
      <c r="R191" s="32">
        <f t="shared" si="104"/>
        <v>23750</v>
      </c>
      <c r="S191" s="60">
        <f t="shared" si="105"/>
        <v>0</v>
      </c>
      <c r="T191" s="60"/>
      <c r="U191" s="32">
        <f t="shared" si="106"/>
        <v>0</v>
      </c>
      <c r="V191" s="32"/>
      <c r="W191" s="126"/>
      <c r="X191" s="60"/>
      <c r="Y191" s="60"/>
      <c r="Z191" s="32">
        <f t="shared" si="107"/>
        <v>0</v>
      </c>
      <c r="AA191" s="34" t="s">
        <v>251</v>
      </c>
      <c r="AB191" s="127"/>
    </row>
    <row r="192" spans="1:28" ht="15" customHeight="1" x14ac:dyDescent="0.35">
      <c r="A192" s="264"/>
      <c r="B192" s="272"/>
      <c r="C192" s="272"/>
      <c r="D192" s="25" t="s">
        <v>17</v>
      </c>
      <c r="E192" s="50" t="s">
        <v>232</v>
      </c>
      <c r="F192" s="55" t="s">
        <v>69</v>
      </c>
      <c r="G192" s="27" t="s">
        <v>55</v>
      </c>
      <c r="H192" s="27">
        <v>1</v>
      </c>
      <c r="I192" s="45">
        <v>1800</v>
      </c>
      <c r="J192" s="45">
        <v>1800</v>
      </c>
      <c r="K192" s="45">
        <v>0</v>
      </c>
      <c r="L192" s="45"/>
      <c r="M192" s="45"/>
      <c r="N192" s="45"/>
      <c r="O192" s="45">
        <v>0</v>
      </c>
      <c r="P192" s="118">
        <v>1800</v>
      </c>
      <c r="Q192" s="126">
        <v>1800</v>
      </c>
      <c r="R192" s="32">
        <f t="shared" si="104"/>
        <v>1800</v>
      </c>
      <c r="S192" s="60">
        <f t="shared" si="105"/>
        <v>0</v>
      </c>
      <c r="T192" s="60"/>
      <c r="U192" s="32">
        <f t="shared" si="106"/>
        <v>0</v>
      </c>
      <c r="V192" s="32"/>
      <c r="W192" s="126"/>
      <c r="X192" s="60"/>
      <c r="Y192" s="60"/>
      <c r="Z192" s="32">
        <f t="shared" si="107"/>
        <v>0</v>
      </c>
      <c r="AA192" s="34" t="s">
        <v>252</v>
      </c>
      <c r="AB192" s="127"/>
    </row>
    <row r="193" spans="1:28" ht="15" customHeight="1" x14ac:dyDescent="0.35">
      <c r="A193" s="264"/>
      <c r="B193" s="272"/>
      <c r="C193" s="272"/>
      <c r="D193" s="25" t="s">
        <v>17</v>
      </c>
      <c r="E193" s="50" t="s">
        <v>232</v>
      </c>
      <c r="F193" s="55" t="s">
        <v>118</v>
      </c>
      <c r="G193" s="27" t="s">
        <v>86</v>
      </c>
      <c r="H193" s="27">
        <v>3</v>
      </c>
      <c r="I193" s="45">
        <v>10000</v>
      </c>
      <c r="J193" s="45">
        <v>30000</v>
      </c>
      <c r="K193" s="45">
        <v>0</v>
      </c>
      <c r="L193" s="45"/>
      <c r="M193" s="45"/>
      <c r="N193" s="45"/>
      <c r="O193" s="45">
        <v>0</v>
      </c>
      <c r="P193" s="118">
        <v>30000</v>
      </c>
      <c r="Q193" s="126">
        <v>30000</v>
      </c>
      <c r="R193" s="32">
        <f t="shared" si="104"/>
        <v>30000</v>
      </c>
      <c r="S193" s="60">
        <f t="shared" si="105"/>
        <v>0</v>
      </c>
      <c r="T193" s="60"/>
      <c r="U193" s="32">
        <f t="shared" si="106"/>
        <v>0</v>
      </c>
      <c r="V193" s="32"/>
      <c r="W193" s="126">
        <v>10000</v>
      </c>
      <c r="X193" s="60"/>
      <c r="Y193" s="60"/>
      <c r="Z193" s="32">
        <f t="shared" si="107"/>
        <v>-10000</v>
      </c>
      <c r="AA193" s="34" t="s">
        <v>253</v>
      </c>
      <c r="AB193" s="127"/>
    </row>
    <row r="194" spans="1:28" ht="15" customHeight="1" x14ac:dyDescent="0.35">
      <c r="A194" s="264"/>
      <c r="B194" s="272"/>
      <c r="C194" s="39"/>
      <c r="D194" s="39"/>
      <c r="E194" s="53"/>
      <c r="F194" s="57"/>
      <c r="G194" s="41"/>
      <c r="H194" s="41"/>
      <c r="I194" s="54"/>
      <c r="J194" s="54">
        <f>SUM(J178:J193)</f>
        <v>387450</v>
      </c>
      <c r="K194" s="54">
        <f t="shared" ref="K194:Z194" si="108">SUM(K178:K193)</f>
        <v>0</v>
      </c>
      <c r="L194" s="54">
        <f t="shared" si="108"/>
        <v>0</v>
      </c>
      <c r="M194" s="54">
        <v>46331.98</v>
      </c>
      <c r="N194" s="54">
        <v>21966.91</v>
      </c>
      <c r="O194" s="54">
        <v>15858.8855678451</v>
      </c>
      <c r="P194" s="54">
        <f t="shared" si="108"/>
        <v>303292.22443215491</v>
      </c>
      <c r="Q194" s="54">
        <f t="shared" si="108"/>
        <v>303292.23</v>
      </c>
      <c r="R194" s="54">
        <f t="shared" si="108"/>
        <v>387450.00556784507</v>
      </c>
      <c r="S194" s="54">
        <f t="shared" si="108"/>
        <v>-84157.781135690209</v>
      </c>
      <c r="T194" s="54">
        <f t="shared" si="108"/>
        <v>0</v>
      </c>
      <c r="U194" s="54">
        <f t="shared" si="108"/>
        <v>-5.5678451008134289E-3</v>
      </c>
      <c r="V194" s="54">
        <f t="shared" si="108"/>
        <v>0</v>
      </c>
      <c r="W194" s="54">
        <f t="shared" si="108"/>
        <v>28000</v>
      </c>
      <c r="X194" s="54">
        <f t="shared" si="108"/>
        <v>0</v>
      </c>
      <c r="Y194" s="54">
        <f t="shared" si="108"/>
        <v>0</v>
      </c>
      <c r="Z194" s="54">
        <f t="shared" si="108"/>
        <v>-28000.005567845103</v>
      </c>
      <c r="AA194" s="49"/>
      <c r="AB194" s="128"/>
    </row>
    <row r="195" spans="1:28" ht="15" customHeight="1" x14ac:dyDescent="0.35">
      <c r="A195" s="264"/>
      <c r="B195" s="272"/>
      <c r="C195" s="272" t="s">
        <v>254</v>
      </c>
      <c r="D195" s="25" t="s">
        <v>17</v>
      </c>
      <c r="E195" s="50" t="s">
        <v>232</v>
      </c>
      <c r="F195" s="55" t="s">
        <v>39</v>
      </c>
      <c r="G195" s="27" t="s">
        <v>40</v>
      </c>
      <c r="H195" s="27">
        <v>1</v>
      </c>
      <c r="I195" s="45">
        <v>11600</v>
      </c>
      <c r="J195" s="45">
        <v>11600</v>
      </c>
      <c r="K195" s="45">
        <v>0</v>
      </c>
      <c r="L195" s="45"/>
      <c r="M195" s="45"/>
      <c r="N195" s="45"/>
      <c r="O195" s="45">
        <v>0</v>
      </c>
      <c r="P195" s="118">
        <v>11600</v>
      </c>
      <c r="Q195" s="126">
        <v>11600</v>
      </c>
      <c r="R195" s="32">
        <f t="shared" ref="R195:R204" si="109">L195+M195+N195+O195+Q195</f>
        <v>11600</v>
      </c>
      <c r="S195" s="60">
        <f t="shared" ref="S195:S204" si="110">P195-R195</f>
        <v>0</v>
      </c>
      <c r="T195" s="60"/>
      <c r="U195" s="32">
        <f t="shared" ref="U195:U204" si="111">P195-Q195</f>
        <v>0</v>
      </c>
      <c r="V195" s="32"/>
      <c r="W195" s="126">
        <v>0</v>
      </c>
      <c r="X195" s="60"/>
      <c r="Y195" s="60"/>
      <c r="Z195" s="32">
        <f t="shared" ref="Z195:Z204" si="112">U195-(W195+X195+Y195)</f>
        <v>0</v>
      </c>
      <c r="AA195" s="34" t="s">
        <v>255</v>
      </c>
      <c r="AB195" s="127"/>
    </row>
    <row r="196" spans="1:28" ht="15" customHeight="1" x14ac:dyDescent="0.35">
      <c r="A196" s="264"/>
      <c r="B196" s="272"/>
      <c r="C196" s="272"/>
      <c r="D196" s="25" t="s">
        <v>17</v>
      </c>
      <c r="E196" s="50" t="s">
        <v>232</v>
      </c>
      <c r="F196" s="55" t="s">
        <v>36</v>
      </c>
      <c r="G196" s="27" t="s">
        <v>55</v>
      </c>
      <c r="H196" s="27">
        <v>1</v>
      </c>
      <c r="I196" s="45">
        <v>9500</v>
      </c>
      <c r="J196" s="45">
        <v>9500</v>
      </c>
      <c r="K196" s="45">
        <v>0</v>
      </c>
      <c r="L196" s="45"/>
      <c r="M196" s="45"/>
      <c r="N196" s="45"/>
      <c r="O196" s="45">
        <v>0</v>
      </c>
      <c r="P196" s="118">
        <v>9500</v>
      </c>
      <c r="Q196" s="126">
        <v>9500</v>
      </c>
      <c r="R196" s="32">
        <f t="shared" si="109"/>
        <v>9500</v>
      </c>
      <c r="S196" s="60">
        <f t="shared" si="110"/>
        <v>0</v>
      </c>
      <c r="T196" s="60"/>
      <c r="U196" s="32">
        <f t="shared" si="111"/>
        <v>0</v>
      </c>
      <c r="V196" s="32"/>
      <c r="W196" s="126">
        <v>0</v>
      </c>
      <c r="X196" s="60"/>
      <c r="Y196" s="60"/>
      <c r="Z196" s="32">
        <f t="shared" si="112"/>
        <v>0</v>
      </c>
      <c r="AA196" s="34" t="s">
        <v>256</v>
      </c>
      <c r="AB196" s="127"/>
    </row>
    <row r="197" spans="1:28" ht="15" customHeight="1" x14ac:dyDescent="0.35">
      <c r="A197" s="264"/>
      <c r="B197" s="272"/>
      <c r="C197" s="272"/>
      <c r="D197" s="25" t="s">
        <v>17</v>
      </c>
      <c r="E197" s="50" t="s">
        <v>232</v>
      </c>
      <c r="F197" s="55" t="s">
        <v>130</v>
      </c>
      <c r="G197" s="27" t="s">
        <v>257</v>
      </c>
      <c r="H197" s="27">
        <v>5</v>
      </c>
      <c r="I197" s="45">
        <v>1000</v>
      </c>
      <c r="J197" s="45">
        <v>5000</v>
      </c>
      <c r="K197" s="45">
        <v>0</v>
      </c>
      <c r="L197" s="45"/>
      <c r="M197" s="45"/>
      <c r="N197" s="45"/>
      <c r="O197" s="45">
        <v>0</v>
      </c>
      <c r="P197" s="118">
        <v>5000</v>
      </c>
      <c r="Q197" s="126">
        <v>5000</v>
      </c>
      <c r="R197" s="32">
        <f t="shared" si="109"/>
        <v>5000</v>
      </c>
      <c r="S197" s="60">
        <f t="shared" si="110"/>
        <v>0</v>
      </c>
      <c r="T197" s="60"/>
      <c r="U197" s="32">
        <f t="shared" si="111"/>
        <v>0</v>
      </c>
      <c r="V197" s="32">
        <v>5000</v>
      </c>
      <c r="W197" s="126"/>
      <c r="X197" s="60"/>
      <c r="Y197" s="60"/>
      <c r="Z197" s="32">
        <f t="shared" si="112"/>
        <v>0</v>
      </c>
      <c r="AA197" s="34" t="s">
        <v>258</v>
      </c>
      <c r="AB197" s="127"/>
    </row>
    <row r="198" spans="1:28" ht="15" customHeight="1" x14ac:dyDescent="0.35">
      <c r="A198" s="264"/>
      <c r="B198" s="272"/>
      <c r="C198" s="272"/>
      <c r="D198" s="25" t="s">
        <v>17</v>
      </c>
      <c r="E198" s="50" t="s">
        <v>232</v>
      </c>
      <c r="F198" s="55" t="s">
        <v>36</v>
      </c>
      <c r="G198" s="27" t="s">
        <v>55</v>
      </c>
      <c r="H198" s="27">
        <v>1</v>
      </c>
      <c r="I198" s="45">
        <v>9500</v>
      </c>
      <c r="J198" s="45">
        <v>9500</v>
      </c>
      <c r="K198" s="45">
        <v>0</v>
      </c>
      <c r="L198" s="45"/>
      <c r="M198" s="45"/>
      <c r="N198" s="45"/>
      <c r="O198" s="45">
        <v>0</v>
      </c>
      <c r="P198" s="118">
        <v>9500</v>
      </c>
      <c r="Q198" s="126">
        <v>9500</v>
      </c>
      <c r="R198" s="32">
        <f t="shared" si="109"/>
        <v>9500</v>
      </c>
      <c r="S198" s="60">
        <f t="shared" si="110"/>
        <v>0</v>
      </c>
      <c r="T198" s="60"/>
      <c r="U198" s="32">
        <f t="shared" si="111"/>
        <v>0</v>
      </c>
      <c r="V198" s="32">
        <v>9500</v>
      </c>
      <c r="W198" s="126"/>
      <c r="X198" s="60"/>
      <c r="Y198" s="60"/>
      <c r="Z198" s="32">
        <f t="shared" si="112"/>
        <v>0</v>
      </c>
      <c r="AA198" s="34" t="s">
        <v>259</v>
      </c>
      <c r="AB198" s="127"/>
    </row>
    <row r="199" spans="1:28" ht="15" customHeight="1" x14ac:dyDescent="0.35">
      <c r="A199" s="264"/>
      <c r="B199" s="272"/>
      <c r="C199" s="272"/>
      <c r="D199" s="25" t="s">
        <v>17</v>
      </c>
      <c r="E199" s="50" t="s">
        <v>232</v>
      </c>
      <c r="F199" s="55" t="s">
        <v>69</v>
      </c>
      <c r="G199" s="27" t="s">
        <v>55</v>
      </c>
      <c r="H199" s="27">
        <v>4</v>
      </c>
      <c r="I199" s="45">
        <v>900</v>
      </c>
      <c r="J199" s="45">
        <v>7200</v>
      </c>
      <c r="K199" s="45">
        <v>0</v>
      </c>
      <c r="L199" s="45"/>
      <c r="M199" s="45"/>
      <c r="N199" s="45"/>
      <c r="O199" s="45">
        <v>0</v>
      </c>
      <c r="P199" s="118">
        <v>7200</v>
      </c>
      <c r="Q199" s="126">
        <v>7200</v>
      </c>
      <c r="R199" s="32">
        <f t="shared" si="109"/>
        <v>7200</v>
      </c>
      <c r="S199" s="60">
        <f t="shared" si="110"/>
        <v>0</v>
      </c>
      <c r="T199" s="60"/>
      <c r="U199" s="32">
        <f t="shared" si="111"/>
        <v>0</v>
      </c>
      <c r="V199" s="32">
        <v>7200</v>
      </c>
      <c r="W199" s="126"/>
      <c r="X199" s="60"/>
      <c r="Y199" s="60"/>
      <c r="Z199" s="32">
        <f t="shared" si="112"/>
        <v>0</v>
      </c>
      <c r="AA199" s="34" t="s">
        <v>260</v>
      </c>
      <c r="AB199" s="127"/>
    </row>
    <row r="200" spans="1:28" ht="15" customHeight="1" x14ac:dyDescent="0.35">
      <c r="A200" s="264"/>
      <c r="B200" s="272"/>
      <c r="C200" s="272"/>
      <c r="D200" s="25" t="s">
        <v>17</v>
      </c>
      <c r="E200" s="50" t="s">
        <v>232</v>
      </c>
      <c r="F200" s="55" t="s">
        <v>39</v>
      </c>
      <c r="G200" s="27" t="s">
        <v>40</v>
      </c>
      <c r="H200" s="27">
        <v>1</v>
      </c>
      <c r="I200" s="45">
        <v>4500</v>
      </c>
      <c r="J200" s="45">
        <v>4500</v>
      </c>
      <c r="K200" s="45">
        <v>0</v>
      </c>
      <c r="L200" s="45"/>
      <c r="M200" s="45"/>
      <c r="N200" s="45"/>
      <c r="O200" s="45">
        <v>0</v>
      </c>
      <c r="P200" s="118">
        <v>4500</v>
      </c>
      <c r="Q200" s="126">
        <v>4500</v>
      </c>
      <c r="R200" s="32">
        <f t="shared" si="109"/>
        <v>4500</v>
      </c>
      <c r="S200" s="60">
        <f t="shared" si="110"/>
        <v>0</v>
      </c>
      <c r="T200" s="60"/>
      <c r="U200" s="32">
        <f t="shared" si="111"/>
        <v>0</v>
      </c>
      <c r="V200" s="32">
        <v>4500</v>
      </c>
      <c r="W200" s="126"/>
      <c r="X200" s="60"/>
      <c r="Y200" s="60"/>
      <c r="Z200" s="32">
        <f t="shared" si="112"/>
        <v>0</v>
      </c>
      <c r="AA200" s="34" t="s">
        <v>261</v>
      </c>
      <c r="AB200" s="127"/>
    </row>
    <row r="201" spans="1:28" ht="15" customHeight="1" x14ac:dyDescent="0.35">
      <c r="A201" s="264"/>
      <c r="B201" s="272"/>
      <c r="C201" s="272"/>
      <c r="D201" s="25" t="s">
        <v>17</v>
      </c>
      <c r="E201" s="50" t="s">
        <v>232</v>
      </c>
      <c r="F201" s="55" t="s">
        <v>36</v>
      </c>
      <c r="G201" s="27" t="s">
        <v>37</v>
      </c>
      <c r="H201" s="27">
        <v>1</v>
      </c>
      <c r="I201" s="45">
        <v>14250</v>
      </c>
      <c r="J201" s="45">
        <v>14250</v>
      </c>
      <c r="K201" s="45">
        <v>0</v>
      </c>
      <c r="L201" s="45"/>
      <c r="M201" s="45"/>
      <c r="N201" s="45"/>
      <c r="O201" s="45">
        <v>0</v>
      </c>
      <c r="P201" s="118">
        <v>14250</v>
      </c>
      <c r="Q201" s="126">
        <v>14250</v>
      </c>
      <c r="R201" s="32">
        <f t="shared" si="109"/>
        <v>14250</v>
      </c>
      <c r="S201" s="60">
        <f t="shared" si="110"/>
        <v>0</v>
      </c>
      <c r="T201" s="60"/>
      <c r="U201" s="32">
        <f t="shared" si="111"/>
        <v>0</v>
      </c>
      <c r="V201" s="32">
        <v>14250</v>
      </c>
      <c r="W201" s="126"/>
      <c r="X201" s="60"/>
      <c r="Y201" s="60"/>
      <c r="Z201" s="32">
        <f t="shared" si="112"/>
        <v>0</v>
      </c>
      <c r="AA201" s="34" t="s">
        <v>262</v>
      </c>
      <c r="AB201" s="127"/>
    </row>
    <row r="202" spans="1:28" ht="15" customHeight="1" x14ac:dyDescent="0.35">
      <c r="A202" s="264"/>
      <c r="B202" s="272"/>
      <c r="C202" s="272"/>
      <c r="D202" s="25" t="s">
        <v>17</v>
      </c>
      <c r="E202" s="50" t="s">
        <v>232</v>
      </c>
      <c r="F202" s="55" t="s">
        <v>53</v>
      </c>
      <c r="G202" s="27" t="s">
        <v>263</v>
      </c>
      <c r="H202" s="27">
        <v>1</v>
      </c>
      <c r="I202" s="45">
        <v>58200</v>
      </c>
      <c r="J202" s="45">
        <v>58200</v>
      </c>
      <c r="K202" s="45">
        <v>0</v>
      </c>
      <c r="L202" s="45"/>
      <c r="M202" s="45"/>
      <c r="N202" s="45"/>
      <c r="O202" s="45">
        <v>0</v>
      </c>
      <c r="P202" s="118">
        <v>58200</v>
      </c>
      <c r="Q202" s="126">
        <v>58200</v>
      </c>
      <c r="R202" s="32">
        <f t="shared" si="109"/>
        <v>58200</v>
      </c>
      <c r="S202" s="60">
        <f t="shared" si="110"/>
        <v>0</v>
      </c>
      <c r="T202" s="60"/>
      <c r="U202" s="32">
        <f t="shared" si="111"/>
        <v>0</v>
      </c>
      <c r="V202" s="32">
        <v>20000</v>
      </c>
      <c r="W202" s="126"/>
      <c r="X202" s="60"/>
      <c r="Y202" s="60"/>
      <c r="Z202" s="32">
        <f t="shared" si="112"/>
        <v>0</v>
      </c>
      <c r="AA202" s="34" t="s">
        <v>264</v>
      </c>
      <c r="AB202" s="127"/>
    </row>
    <row r="203" spans="1:28" ht="15" customHeight="1" x14ac:dyDescent="0.35">
      <c r="A203" s="264"/>
      <c r="B203" s="272"/>
      <c r="C203" s="272"/>
      <c r="D203" s="25" t="s">
        <v>17</v>
      </c>
      <c r="E203" s="50" t="s">
        <v>232</v>
      </c>
      <c r="F203" s="55" t="s">
        <v>36</v>
      </c>
      <c r="G203" s="27" t="s">
        <v>55</v>
      </c>
      <c r="H203" s="27">
        <v>3</v>
      </c>
      <c r="I203" s="45">
        <v>22000</v>
      </c>
      <c r="J203" s="45">
        <v>66000</v>
      </c>
      <c r="K203" s="45">
        <v>0</v>
      </c>
      <c r="L203" s="45"/>
      <c r="M203" s="45"/>
      <c r="N203" s="45"/>
      <c r="O203" s="45">
        <v>0</v>
      </c>
      <c r="P203" s="118">
        <v>66000</v>
      </c>
      <c r="Q203" s="126">
        <v>66000</v>
      </c>
      <c r="R203" s="32">
        <f t="shared" si="109"/>
        <v>66000</v>
      </c>
      <c r="S203" s="60">
        <f t="shared" si="110"/>
        <v>0</v>
      </c>
      <c r="T203" s="60"/>
      <c r="U203" s="32">
        <f t="shared" si="111"/>
        <v>0</v>
      </c>
      <c r="V203" s="32">
        <v>22000</v>
      </c>
      <c r="W203" s="126"/>
      <c r="X203" s="60"/>
      <c r="Y203" s="60"/>
      <c r="Z203" s="32">
        <f t="shared" si="112"/>
        <v>0</v>
      </c>
      <c r="AA203" s="34" t="s">
        <v>265</v>
      </c>
      <c r="AB203" s="127"/>
    </row>
    <row r="204" spans="1:28" ht="15" customHeight="1" x14ac:dyDescent="0.35">
      <c r="A204" s="264"/>
      <c r="B204" s="272"/>
      <c r="C204" s="272"/>
      <c r="D204" s="25" t="s">
        <v>17</v>
      </c>
      <c r="E204" s="50" t="s">
        <v>232</v>
      </c>
      <c r="F204" s="55" t="s">
        <v>69</v>
      </c>
      <c r="G204" s="27" t="s">
        <v>55</v>
      </c>
      <c r="H204" s="27">
        <v>3</v>
      </c>
      <c r="I204" s="45">
        <v>3600</v>
      </c>
      <c r="J204" s="45">
        <v>10800</v>
      </c>
      <c r="K204" s="45">
        <v>0</v>
      </c>
      <c r="L204" s="45"/>
      <c r="M204" s="45"/>
      <c r="N204" s="45"/>
      <c r="O204" s="45">
        <v>0</v>
      </c>
      <c r="P204" s="118">
        <v>10800</v>
      </c>
      <c r="Q204" s="126">
        <v>10800</v>
      </c>
      <c r="R204" s="32">
        <f t="shared" si="109"/>
        <v>10800</v>
      </c>
      <c r="S204" s="60">
        <f t="shared" si="110"/>
        <v>0</v>
      </c>
      <c r="T204" s="60"/>
      <c r="U204" s="32">
        <f t="shared" si="111"/>
        <v>0</v>
      </c>
      <c r="V204" s="32">
        <v>3600</v>
      </c>
      <c r="W204" s="126"/>
      <c r="X204" s="60"/>
      <c r="Y204" s="60"/>
      <c r="Z204" s="32">
        <f t="shared" si="112"/>
        <v>0</v>
      </c>
      <c r="AA204" s="34" t="s">
        <v>266</v>
      </c>
      <c r="AB204" s="127"/>
    </row>
    <row r="205" spans="1:28" ht="15" customHeight="1" x14ac:dyDescent="0.35">
      <c r="A205" s="264"/>
      <c r="B205" s="272"/>
      <c r="C205" s="39"/>
      <c r="D205" s="39"/>
      <c r="E205" s="53"/>
      <c r="F205" s="57"/>
      <c r="G205" s="41"/>
      <c r="H205" s="41"/>
      <c r="I205" s="54"/>
      <c r="J205" s="54">
        <f>SUM(J195:J204)</f>
        <v>196550</v>
      </c>
      <c r="K205" s="54">
        <f t="shared" ref="K205:L205" si="113">SUM(K195:K204)</f>
        <v>0</v>
      </c>
      <c r="L205" s="54">
        <f t="shared" si="113"/>
        <v>0</v>
      </c>
      <c r="M205" s="54">
        <v>0</v>
      </c>
      <c r="N205" s="54">
        <v>0</v>
      </c>
      <c r="O205" s="54">
        <v>0</v>
      </c>
      <c r="P205" s="54">
        <f>SUM(P195:P204)</f>
        <v>196550</v>
      </c>
      <c r="Q205" s="54">
        <f t="shared" ref="Q205:Z205" si="114">SUM(Q195:Q204)</f>
        <v>196550</v>
      </c>
      <c r="R205" s="54">
        <f t="shared" si="114"/>
        <v>196550</v>
      </c>
      <c r="S205" s="54">
        <f t="shared" si="114"/>
        <v>0</v>
      </c>
      <c r="T205" s="54">
        <f t="shared" si="114"/>
        <v>0</v>
      </c>
      <c r="U205" s="54">
        <f t="shared" si="114"/>
        <v>0</v>
      </c>
      <c r="V205" s="54">
        <f t="shared" si="114"/>
        <v>86050</v>
      </c>
      <c r="W205" s="54">
        <f t="shared" si="114"/>
        <v>0</v>
      </c>
      <c r="X205" s="54">
        <f t="shared" ref="X205:Y205" si="115">SUM(X195:X204)</f>
        <v>0</v>
      </c>
      <c r="Y205" s="54">
        <f t="shared" si="115"/>
        <v>0</v>
      </c>
      <c r="Z205" s="54">
        <f t="shared" si="114"/>
        <v>0</v>
      </c>
      <c r="AA205" s="49"/>
      <c r="AB205" s="128"/>
    </row>
    <row r="206" spans="1:28" ht="15" customHeight="1" x14ac:dyDescent="0.35">
      <c r="A206" s="264"/>
      <c r="B206" s="272"/>
      <c r="C206" s="272" t="s">
        <v>267</v>
      </c>
      <c r="D206" s="25" t="s">
        <v>17</v>
      </c>
      <c r="E206" s="50" t="s">
        <v>232</v>
      </c>
      <c r="F206" s="55" t="s">
        <v>118</v>
      </c>
      <c r="G206" s="27" t="s">
        <v>86</v>
      </c>
      <c r="H206" s="27">
        <v>1</v>
      </c>
      <c r="I206" s="35">
        <v>38880</v>
      </c>
      <c r="J206" s="35">
        <v>38880</v>
      </c>
      <c r="K206" s="35">
        <v>0</v>
      </c>
      <c r="L206" s="35"/>
      <c r="M206" s="35">
        <v>38880</v>
      </c>
      <c r="N206" s="35"/>
      <c r="O206" s="35">
        <v>0</v>
      </c>
      <c r="P206" s="114">
        <v>0</v>
      </c>
      <c r="Q206" s="126">
        <v>0</v>
      </c>
      <c r="R206" s="32">
        <f t="shared" ref="R206:R212" si="116">L206+M206+N206+O206+Q206</f>
        <v>38880</v>
      </c>
      <c r="S206" s="60">
        <f t="shared" ref="S206:S212" si="117">P206-R206</f>
        <v>-38880</v>
      </c>
      <c r="T206" s="60"/>
      <c r="U206" s="32">
        <f t="shared" ref="U206:U212" si="118">P206-Q206</f>
        <v>0</v>
      </c>
      <c r="V206" s="32"/>
      <c r="W206" s="126">
        <v>0</v>
      </c>
      <c r="X206" s="60"/>
      <c r="Y206" s="60"/>
      <c r="Z206" s="32">
        <f t="shared" ref="Z206:Z212" si="119">U206-(W206+X206+Y206)</f>
        <v>0</v>
      </c>
      <c r="AA206" s="34" t="s">
        <v>268</v>
      </c>
      <c r="AB206" s="127"/>
    </row>
    <row r="207" spans="1:28" ht="15" customHeight="1" x14ac:dyDescent="0.35">
      <c r="A207" s="264"/>
      <c r="B207" s="272"/>
      <c r="C207" s="272"/>
      <c r="D207" s="25" t="s">
        <v>17</v>
      </c>
      <c r="E207" s="50" t="s">
        <v>232</v>
      </c>
      <c r="F207" s="55" t="s">
        <v>61</v>
      </c>
      <c r="G207" s="27" t="s">
        <v>62</v>
      </c>
      <c r="H207" s="27">
        <v>12</v>
      </c>
      <c r="I207" s="35">
        <v>500</v>
      </c>
      <c r="J207" s="35">
        <v>6000</v>
      </c>
      <c r="K207" s="35">
        <v>0</v>
      </c>
      <c r="L207" s="35"/>
      <c r="M207" s="35">
        <v>1070.3900000000001</v>
      </c>
      <c r="N207" s="35"/>
      <c r="O207" s="35">
        <v>0</v>
      </c>
      <c r="P207" s="114">
        <v>4929.6099999999997</v>
      </c>
      <c r="Q207" s="126">
        <v>4929.6099999999997</v>
      </c>
      <c r="R207" s="32">
        <f t="shared" si="116"/>
        <v>6000</v>
      </c>
      <c r="S207" s="60">
        <f t="shared" si="117"/>
        <v>-1070.3900000000003</v>
      </c>
      <c r="T207" s="60"/>
      <c r="U207" s="32">
        <f t="shared" si="118"/>
        <v>0</v>
      </c>
      <c r="V207" s="32"/>
      <c r="W207" s="126">
        <v>0</v>
      </c>
      <c r="X207" s="60"/>
      <c r="Y207" s="60"/>
      <c r="Z207" s="32">
        <f t="shared" si="119"/>
        <v>0</v>
      </c>
      <c r="AA207" s="34" t="s">
        <v>269</v>
      </c>
      <c r="AB207" s="127"/>
    </row>
    <row r="208" spans="1:28" ht="15" customHeight="1" x14ac:dyDescent="0.35">
      <c r="A208" s="264"/>
      <c r="B208" s="272"/>
      <c r="C208" s="272"/>
      <c r="D208" s="25" t="s">
        <v>17</v>
      </c>
      <c r="E208" s="50" t="s">
        <v>232</v>
      </c>
      <c r="F208" s="55" t="s">
        <v>36</v>
      </c>
      <c r="G208" s="27" t="s">
        <v>55</v>
      </c>
      <c r="H208" s="27">
        <v>1</v>
      </c>
      <c r="I208" s="35">
        <v>10000</v>
      </c>
      <c r="J208" s="35">
        <v>10000</v>
      </c>
      <c r="K208" s="35">
        <v>0</v>
      </c>
      <c r="L208" s="35"/>
      <c r="M208" s="35">
        <v>9759.4599999999991</v>
      </c>
      <c r="N208" s="35"/>
      <c r="O208" s="35">
        <v>0</v>
      </c>
      <c r="P208" s="114">
        <v>240.54000000000087</v>
      </c>
      <c r="Q208" s="126">
        <v>240.54000000000087</v>
      </c>
      <c r="R208" s="32">
        <f t="shared" si="116"/>
        <v>10000</v>
      </c>
      <c r="S208" s="60">
        <f t="shared" si="117"/>
        <v>-9759.4599999999991</v>
      </c>
      <c r="T208" s="60"/>
      <c r="U208" s="32">
        <f t="shared" si="118"/>
        <v>0</v>
      </c>
      <c r="V208" s="32"/>
      <c r="W208" s="126">
        <v>0</v>
      </c>
      <c r="X208" s="60"/>
      <c r="Y208" s="60"/>
      <c r="Z208" s="32">
        <f t="shared" si="119"/>
        <v>0</v>
      </c>
      <c r="AA208" s="34" t="s">
        <v>270</v>
      </c>
      <c r="AB208" s="127"/>
    </row>
    <row r="209" spans="1:29" ht="15" customHeight="1" x14ac:dyDescent="0.35">
      <c r="A209" s="264"/>
      <c r="B209" s="272"/>
      <c r="C209" s="272"/>
      <c r="D209" s="25" t="s">
        <v>17</v>
      </c>
      <c r="E209" s="50" t="s">
        <v>232</v>
      </c>
      <c r="F209" s="55" t="s">
        <v>39</v>
      </c>
      <c r="G209" s="27" t="s">
        <v>40</v>
      </c>
      <c r="H209" s="27">
        <v>1</v>
      </c>
      <c r="I209" s="35">
        <v>7600</v>
      </c>
      <c r="J209" s="35">
        <v>7600</v>
      </c>
      <c r="K209" s="35">
        <v>0</v>
      </c>
      <c r="L209" s="35"/>
      <c r="M209" s="35">
        <v>3989.19</v>
      </c>
      <c r="N209" s="35"/>
      <c r="O209" s="35">
        <v>0</v>
      </c>
      <c r="P209" s="114">
        <v>3610.81</v>
      </c>
      <c r="Q209" s="126">
        <v>3610.81</v>
      </c>
      <c r="R209" s="32">
        <f t="shared" si="116"/>
        <v>7600</v>
      </c>
      <c r="S209" s="60">
        <f t="shared" si="117"/>
        <v>-3989.19</v>
      </c>
      <c r="T209" s="60"/>
      <c r="U209" s="32">
        <f t="shared" si="118"/>
        <v>0</v>
      </c>
      <c r="V209" s="32"/>
      <c r="W209" s="126">
        <v>0</v>
      </c>
      <c r="X209" s="60"/>
      <c r="Y209" s="60"/>
      <c r="Z209" s="32">
        <f t="shared" si="119"/>
        <v>0</v>
      </c>
      <c r="AA209" s="34" t="s">
        <v>271</v>
      </c>
      <c r="AB209" s="127"/>
    </row>
    <row r="210" spans="1:29" ht="15" customHeight="1" x14ac:dyDescent="0.35">
      <c r="A210" s="264"/>
      <c r="B210" s="272"/>
      <c r="C210" s="272"/>
      <c r="D210" s="25" t="s">
        <v>17</v>
      </c>
      <c r="E210" s="50" t="s">
        <v>232</v>
      </c>
      <c r="F210" s="55" t="s">
        <v>28</v>
      </c>
      <c r="G210" s="27" t="s">
        <v>29</v>
      </c>
      <c r="H210" s="27">
        <v>18</v>
      </c>
      <c r="I210" s="35">
        <f>129685/18</f>
        <v>7204.7222222222226</v>
      </c>
      <c r="J210" s="35">
        <v>129685</v>
      </c>
      <c r="K210" s="35">
        <v>0</v>
      </c>
      <c r="L210" s="35"/>
      <c r="M210" s="35"/>
      <c r="N210" s="35"/>
      <c r="O210" s="35">
        <v>0</v>
      </c>
      <c r="P210" s="114">
        <v>129685</v>
      </c>
      <c r="Q210" s="126">
        <v>129685</v>
      </c>
      <c r="R210" s="32">
        <f t="shared" si="116"/>
        <v>129685</v>
      </c>
      <c r="S210" s="60">
        <f t="shared" si="117"/>
        <v>0</v>
      </c>
      <c r="T210" s="60"/>
      <c r="U210" s="32">
        <f t="shared" si="118"/>
        <v>0</v>
      </c>
      <c r="V210" s="32">
        <v>72930</v>
      </c>
      <c r="W210" s="126"/>
      <c r="X210" s="60"/>
      <c r="Y210" s="60"/>
      <c r="Z210" s="32">
        <f t="shared" si="119"/>
        <v>0</v>
      </c>
      <c r="AA210" s="34" t="s">
        <v>272</v>
      </c>
      <c r="AB210" s="127"/>
    </row>
    <row r="211" spans="1:29" ht="15" customHeight="1" x14ac:dyDescent="0.35">
      <c r="A211" s="264"/>
      <c r="B211" s="272"/>
      <c r="C211" s="272"/>
      <c r="D211" s="25" t="s">
        <v>31</v>
      </c>
      <c r="E211" s="50" t="s">
        <v>232</v>
      </c>
      <c r="F211" s="55" t="s">
        <v>28</v>
      </c>
      <c r="G211" s="27" t="s">
        <v>29</v>
      </c>
      <c r="H211" s="27">
        <v>18</v>
      </c>
      <c r="I211" s="35">
        <f>579940/18</f>
        <v>32218.888888888891</v>
      </c>
      <c r="J211" s="35">
        <v>0</v>
      </c>
      <c r="K211" s="35">
        <v>579940</v>
      </c>
      <c r="L211" s="35"/>
      <c r="M211" s="35"/>
      <c r="N211" s="35"/>
      <c r="O211" s="35">
        <v>0</v>
      </c>
      <c r="P211" s="114">
        <v>0</v>
      </c>
      <c r="Q211" s="126">
        <v>0</v>
      </c>
      <c r="R211" s="32">
        <f t="shared" si="116"/>
        <v>0</v>
      </c>
      <c r="S211" s="60">
        <f t="shared" si="117"/>
        <v>0</v>
      </c>
      <c r="T211" s="60"/>
      <c r="U211" s="32">
        <f t="shared" si="118"/>
        <v>0</v>
      </c>
      <c r="V211" s="32"/>
      <c r="W211" s="126">
        <v>0</v>
      </c>
      <c r="X211" s="60"/>
      <c r="Y211" s="60"/>
      <c r="Z211" s="32">
        <f t="shared" si="119"/>
        <v>0</v>
      </c>
      <c r="AA211" s="34" t="s">
        <v>273</v>
      </c>
      <c r="AB211" s="127"/>
    </row>
    <row r="212" spans="1:29" ht="15" customHeight="1" x14ac:dyDescent="0.35">
      <c r="A212" s="264"/>
      <c r="B212" s="272"/>
      <c r="C212" s="272"/>
      <c r="D212" s="25" t="s">
        <v>17</v>
      </c>
      <c r="E212" s="50" t="s">
        <v>232</v>
      </c>
      <c r="F212" s="55" t="s">
        <v>53</v>
      </c>
      <c r="G212" s="27" t="s">
        <v>86</v>
      </c>
      <c r="H212" s="27">
        <v>1</v>
      </c>
      <c r="I212" s="45">
        <v>40945</v>
      </c>
      <c r="J212" s="45">
        <v>40945</v>
      </c>
      <c r="K212" s="45">
        <v>0</v>
      </c>
      <c r="L212" s="45"/>
      <c r="M212" s="45"/>
      <c r="N212" s="45"/>
      <c r="O212" s="45">
        <v>0</v>
      </c>
      <c r="P212" s="118">
        <v>40945</v>
      </c>
      <c r="Q212" s="126">
        <v>0</v>
      </c>
      <c r="R212" s="32">
        <f t="shared" si="116"/>
        <v>0</v>
      </c>
      <c r="S212" s="60">
        <f t="shared" si="117"/>
        <v>40945</v>
      </c>
      <c r="T212" s="60"/>
      <c r="U212" s="32">
        <f t="shared" si="118"/>
        <v>40945</v>
      </c>
      <c r="V212" s="32"/>
      <c r="W212" s="126">
        <v>8750</v>
      </c>
      <c r="X212" s="60"/>
      <c r="Y212" s="60"/>
      <c r="Z212" s="32">
        <f t="shared" si="119"/>
        <v>32195</v>
      </c>
      <c r="AA212" s="34" t="s">
        <v>274</v>
      </c>
      <c r="AB212" s="127"/>
    </row>
    <row r="213" spans="1:29" ht="15" customHeight="1" x14ac:dyDescent="0.35">
      <c r="A213" s="24"/>
      <c r="B213" s="25"/>
      <c r="C213" s="39"/>
      <c r="D213" s="39"/>
      <c r="E213" s="53"/>
      <c r="F213" s="57"/>
      <c r="G213" s="41"/>
      <c r="H213" s="41"/>
      <c r="I213" s="54"/>
      <c r="J213" s="54">
        <f>SUM(J206:J212)</f>
        <v>233110</v>
      </c>
      <c r="K213" s="54">
        <f t="shared" ref="K213:Z213" si="120">SUM(K206:K212)</f>
        <v>579940</v>
      </c>
      <c r="L213" s="54">
        <f t="shared" si="120"/>
        <v>0</v>
      </c>
      <c r="M213" s="54">
        <v>53699.040000000001</v>
      </c>
      <c r="N213" s="54">
        <v>0</v>
      </c>
      <c r="O213" s="54">
        <v>0</v>
      </c>
      <c r="P213" s="54">
        <f t="shared" si="120"/>
        <v>179410.96</v>
      </c>
      <c r="Q213" s="54">
        <f t="shared" si="120"/>
        <v>138465.96</v>
      </c>
      <c r="R213" s="54">
        <f t="shared" si="120"/>
        <v>192165</v>
      </c>
      <c r="S213" s="54">
        <f t="shared" si="120"/>
        <v>-12754.04</v>
      </c>
      <c r="T213" s="54">
        <f t="shared" si="120"/>
        <v>0</v>
      </c>
      <c r="U213" s="54">
        <f t="shared" si="120"/>
        <v>40945</v>
      </c>
      <c r="V213" s="54">
        <f t="shared" si="120"/>
        <v>72930</v>
      </c>
      <c r="W213" s="54">
        <f t="shared" ref="W213:Y213" si="121">SUM(W206:W212)</f>
        <v>8750</v>
      </c>
      <c r="X213" s="54">
        <f t="shared" si="121"/>
        <v>0</v>
      </c>
      <c r="Y213" s="54">
        <f t="shared" si="121"/>
        <v>0</v>
      </c>
      <c r="Z213" s="54">
        <f t="shared" si="120"/>
        <v>32195</v>
      </c>
      <c r="AA213" s="49"/>
      <c r="AB213" s="128"/>
    </row>
    <row r="214" spans="1:29" ht="15" customHeight="1" x14ac:dyDescent="0.35">
      <c r="A214" s="66"/>
      <c r="B214" s="25"/>
      <c r="C214" s="25" t="s">
        <v>275</v>
      </c>
      <c r="D214" s="25" t="s">
        <v>17</v>
      </c>
      <c r="E214" s="50"/>
      <c r="F214" s="55" t="s">
        <v>275</v>
      </c>
      <c r="G214" s="27" t="s">
        <v>86</v>
      </c>
      <c r="H214" s="27">
        <v>1</v>
      </c>
      <c r="I214" s="45">
        <v>205295</v>
      </c>
      <c r="J214" s="45">
        <v>415538</v>
      </c>
      <c r="K214" s="45">
        <v>0</v>
      </c>
      <c r="L214" s="45"/>
      <c r="M214" s="45"/>
      <c r="N214" s="45"/>
      <c r="O214" s="45"/>
      <c r="P214" s="118">
        <v>415538</v>
      </c>
      <c r="Q214" s="126">
        <v>0</v>
      </c>
      <c r="R214" s="32">
        <f t="shared" ref="R214" si="122">L214+M214+N214+O214+Q214</f>
        <v>0</v>
      </c>
      <c r="S214" s="60">
        <f>P214-R214</f>
        <v>415538</v>
      </c>
      <c r="T214" s="60"/>
      <c r="U214" s="32">
        <f t="shared" ref="U214" si="123">P214-Q214</f>
        <v>415538</v>
      </c>
      <c r="V214" s="32"/>
      <c r="W214" s="126">
        <v>0</v>
      </c>
      <c r="X214" s="60"/>
      <c r="Y214" s="60"/>
      <c r="Z214" s="32">
        <v>221158</v>
      </c>
      <c r="AA214" s="34" t="s">
        <v>276</v>
      </c>
      <c r="AB214" s="127" t="s">
        <v>1152</v>
      </c>
    </row>
    <row r="215" spans="1:29" ht="15" customHeight="1" x14ac:dyDescent="0.35">
      <c r="A215" s="257" t="s">
        <v>277</v>
      </c>
      <c r="B215" s="257"/>
      <c r="C215" s="257"/>
      <c r="D215" s="257"/>
      <c r="E215" s="257"/>
      <c r="F215" s="257"/>
      <c r="G215" s="257"/>
      <c r="H215" s="257"/>
      <c r="I215" s="257"/>
      <c r="J215" s="68">
        <f>J13+J33+J38+J52+J60+J68+J83+J94+J105+J110+J117+J123+J129+J136+J141+J147+J154+J160+J165+J172+J177+J194+J205+J213+J214</f>
        <v>9842042.9990760013</v>
      </c>
      <c r="K215" s="68">
        <f t="shared" ref="K215:Z215" si="124">K13+K33+K38+K52+K60+K68+K83+K94+K105+K110+K117+K123+K129+K136+K141+K147+K154+K160+K165+K172+K177+K194+K205+K213+K214</f>
        <v>1323292</v>
      </c>
      <c r="L215" s="68">
        <f t="shared" si="124"/>
        <v>0</v>
      </c>
      <c r="M215" s="68">
        <v>662667.28</v>
      </c>
      <c r="N215" s="68">
        <v>354473.29634202918</v>
      </c>
      <c r="O215" s="68">
        <v>1141084.678628528</v>
      </c>
      <c r="P215" s="68">
        <f t="shared" si="124"/>
        <v>7683817.7207884584</v>
      </c>
      <c r="Q215" s="68">
        <f t="shared" si="124"/>
        <v>2101839.8678974546</v>
      </c>
      <c r="R215" s="68">
        <f t="shared" si="124"/>
        <v>4260065.1228680108</v>
      </c>
      <c r="S215" s="68">
        <f t="shared" si="124"/>
        <v>3424916.4879204463</v>
      </c>
      <c r="T215" s="68" t="e">
        <f t="shared" si="124"/>
        <v>#REF!</v>
      </c>
      <c r="U215" s="68">
        <f t="shared" si="124"/>
        <v>5581977.8528910037</v>
      </c>
      <c r="V215" s="68">
        <f t="shared" si="124"/>
        <v>1092475.7600400001</v>
      </c>
      <c r="W215" s="68">
        <f t="shared" si="124"/>
        <v>999065.54</v>
      </c>
      <c r="X215" s="68">
        <f t="shared" si="124"/>
        <v>2203143.7999999998</v>
      </c>
      <c r="Y215" s="68">
        <f t="shared" si="124"/>
        <v>1092912.75</v>
      </c>
      <c r="Z215" s="68">
        <f t="shared" si="124"/>
        <v>1092475.7628910039</v>
      </c>
      <c r="AA215" s="69"/>
      <c r="AB215" s="140"/>
      <c r="AC215" s="247">
        <f>Z215/J215</f>
        <v>0.11100091342758496</v>
      </c>
    </row>
    <row r="216" spans="1:29" ht="51" customHeight="1" x14ac:dyDescent="0.35">
      <c r="A216" s="264" t="s">
        <v>278</v>
      </c>
      <c r="B216" s="265" t="s">
        <v>279</v>
      </c>
      <c r="C216" s="265" t="s">
        <v>280</v>
      </c>
      <c r="D216" s="70" t="s">
        <v>17</v>
      </c>
      <c r="E216" s="50" t="s">
        <v>281</v>
      </c>
      <c r="F216" s="71" t="s">
        <v>28</v>
      </c>
      <c r="G216" s="27" t="s">
        <v>29</v>
      </c>
      <c r="H216" s="27">
        <v>78</v>
      </c>
      <c r="I216" s="45">
        <v>1359</v>
      </c>
      <c r="J216" s="45">
        <v>131466</v>
      </c>
      <c r="K216" s="45">
        <v>0</v>
      </c>
      <c r="L216" s="45">
        <v>0</v>
      </c>
      <c r="M216" s="45">
        <v>30872.93</v>
      </c>
      <c r="N216" s="45">
        <v>25826.83</v>
      </c>
      <c r="O216" s="45">
        <v>25339.559999999998</v>
      </c>
      <c r="P216" s="118">
        <v>49426.679999999993</v>
      </c>
      <c r="Q216" s="126">
        <v>25208.59</v>
      </c>
      <c r="R216" s="32">
        <f t="shared" ref="R216:R235" si="125">L216+M216+N216+O216+Q216</f>
        <v>107247.91</v>
      </c>
      <c r="S216" s="60">
        <f t="shared" ref="S216:S235" si="126">P216-R216</f>
        <v>-57821.23000000001</v>
      </c>
      <c r="T216" s="60"/>
      <c r="U216" s="32">
        <f t="shared" ref="U216:U235" si="127">P216-Q216</f>
        <v>24218.089999999993</v>
      </c>
      <c r="V216" s="32"/>
      <c r="W216" s="126">
        <v>1700</v>
      </c>
      <c r="X216" s="60">
        <v>2500</v>
      </c>
      <c r="Y216" s="60">
        <v>2500</v>
      </c>
      <c r="Z216" s="32">
        <f t="shared" ref="Z216:Z235" si="128">U216-(W216+X216+Y216)</f>
        <v>17518.089999999993</v>
      </c>
      <c r="AA216" s="34" t="s">
        <v>282</v>
      </c>
      <c r="AB216" s="127" t="s">
        <v>1099</v>
      </c>
    </row>
    <row r="217" spans="1:29" ht="15" customHeight="1" x14ac:dyDescent="0.35">
      <c r="A217" s="264"/>
      <c r="B217" s="265"/>
      <c r="C217" s="265"/>
      <c r="D217" s="70" t="s">
        <v>17</v>
      </c>
      <c r="E217" s="50" t="s">
        <v>281</v>
      </c>
      <c r="F217" s="71" t="s">
        <v>154</v>
      </c>
      <c r="G217" s="27" t="s">
        <v>283</v>
      </c>
      <c r="H217" s="27">
        <v>4</v>
      </c>
      <c r="I217" s="45">
        <f>(10*14)*13</f>
        <v>1820</v>
      </c>
      <c r="J217" s="45">
        <v>7280</v>
      </c>
      <c r="K217" s="45">
        <v>0</v>
      </c>
      <c r="L217" s="45"/>
      <c r="M217" s="45"/>
      <c r="N217" s="45"/>
      <c r="O217" s="45">
        <v>0</v>
      </c>
      <c r="P217" s="118">
        <v>7280</v>
      </c>
      <c r="Q217" s="126">
        <v>908.51</v>
      </c>
      <c r="R217" s="32">
        <f t="shared" si="125"/>
        <v>908.51</v>
      </c>
      <c r="S217" s="60">
        <f t="shared" si="126"/>
        <v>6371.49</v>
      </c>
      <c r="T217" s="60"/>
      <c r="U217" s="32">
        <f t="shared" si="127"/>
        <v>6371.49</v>
      </c>
      <c r="V217" s="32"/>
      <c r="W217" s="126"/>
      <c r="X217" s="60">
        <v>3371.49</v>
      </c>
      <c r="Y217" s="60">
        <v>3000</v>
      </c>
      <c r="Z217" s="32">
        <f t="shared" si="128"/>
        <v>0</v>
      </c>
      <c r="AA217" s="34" t="s">
        <v>284</v>
      </c>
      <c r="AB217" s="127"/>
    </row>
    <row r="218" spans="1:29" ht="15" customHeight="1" x14ac:dyDescent="0.35">
      <c r="A218" s="264"/>
      <c r="B218" s="265"/>
      <c r="C218" s="265"/>
      <c r="D218" s="70" t="s">
        <v>17</v>
      </c>
      <c r="E218" s="50" t="s">
        <v>281</v>
      </c>
      <c r="F218" s="71" t="s">
        <v>154</v>
      </c>
      <c r="G218" s="27" t="s">
        <v>283</v>
      </c>
      <c r="H218" s="27">
        <v>2</v>
      </c>
      <c r="I218" s="45">
        <v>1820</v>
      </c>
      <c r="J218" s="45">
        <v>29120</v>
      </c>
      <c r="K218" s="45">
        <v>0</v>
      </c>
      <c r="L218" s="45"/>
      <c r="M218" s="45"/>
      <c r="N218" s="45"/>
      <c r="O218" s="45">
        <v>0</v>
      </c>
      <c r="P218" s="118">
        <v>29120</v>
      </c>
      <c r="Q218" s="126">
        <v>1060.05</v>
      </c>
      <c r="R218" s="32">
        <f t="shared" si="125"/>
        <v>1060.05</v>
      </c>
      <c r="S218" s="60">
        <f t="shared" si="126"/>
        <v>28059.95</v>
      </c>
      <c r="T218" s="60"/>
      <c r="U218" s="32">
        <f t="shared" si="127"/>
        <v>28059.95</v>
      </c>
      <c r="V218" s="32"/>
      <c r="W218" s="126"/>
      <c r="X218" s="60">
        <v>7499.95</v>
      </c>
      <c r="Y218" s="60">
        <v>6000</v>
      </c>
      <c r="Z218" s="32">
        <f t="shared" si="128"/>
        <v>14560</v>
      </c>
      <c r="AA218" s="34" t="s">
        <v>285</v>
      </c>
      <c r="AB218" s="127"/>
    </row>
    <row r="219" spans="1:29" ht="15" customHeight="1" x14ac:dyDescent="0.35">
      <c r="A219" s="264"/>
      <c r="B219" s="265"/>
      <c r="C219" s="265"/>
      <c r="D219" s="70" t="s">
        <v>17</v>
      </c>
      <c r="E219" s="50" t="s">
        <v>281</v>
      </c>
      <c r="F219" s="71" t="s">
        <v>64</v>
      </c>
      <c r="G219" s="27" t="s">
        <v>86</v>
      </c>
      <c r="H219" s="27">
        <v>2</v>
      </c>
      <c r="I219" s="45">
        <v>10070</v>
      </c>
      <c r="J219" s="45">
        <v>20140</v>
      </c>
      <c r="K219" s="45">
        <v>0</v>
      </c>
      <c r="L219" s="45"/>
      <c r="M219" s="45"/>
      <c r="N219" s="45"/>
      <c r="O219" s="45">
        <v>0</v>
      </c>
      <c r="P219" s="118">
        <v>20140</v>
      </c>
      <c r="Q219" s="126">
        <v>1127.98</v>
      </c>
      <c r="R219" s="32">
        <f t="shared" si="125"/>
        <v>1127.98</v>
      </c>
      <c r="S219" s="60">
        <f t="shared" si="126"/>
        <v>19012.02</v>
      </c>
      <c r="T219" s="60"/>
      <c r="U219" s="32">
        <f t="shared" si="127"/>
        <v>19012.02</v>
      </c>
      <c r="V219" s="32"/>
      <c r="W219" s="126"/>
      <c r="X219" s="60">
        <v>10000</v>
      </c>
      <c r="Y219" s="60">
        <v>9102</v>
      </c>
      <c r="Z219" s="32">
        <f t="shared" si="128"/>
        <v>-89.979999999999563</v>
      </c>
      <c r="AA219" s="34" t="s">
        <v>286</v>
      </c>
      <c r="AB219" s="234" t="s">
        <v>1098</v>
      </c>
    </row>
    <row r="220" spans="1:29" ht="15" customHeight="1" x14ac:dyDescent="0.35">
      <c r="A220" s="264"/>
      <c r="B220" s="265"/>
      <c r="C220" s="265"/>
      <c r="D220" s="70" t="s">
        <v>17</v>
      </c>
      <c r="E220" s="50" t="s">
        <v>281</v>
      </c>
      <c r="F220" s="71" t="s">
        <v>64</v>
      </c>
      <c r="G220" s="27" t="s">
        <v>86</v>
      </c>
      <c r="H220" s="27">
        <v>1</v>
      </c>
      <c r="I220" s="45">
        <v>2840</v>
      </c>
      <c r="J220" s="45">
        <v>2840</v>
      </c>
      <c r="K220" s="45">
        <v>0</v>
      </c>
      <c r="L220" s="45"/>
      <c r="M220" s="45"/>
      <c r="N220" s="45"/>
      <c r="O220" s="45">
        <v>0</v>
      </c>
      <c r="P220" s="118">
        <v>2840</v>
      </c>
      <c r="Q220" s="126">
        <v>0</v>
      </c>
      <c r="R220" s="32">
        <f t="shared" si="125"/>
        <v>0</v>
      </c>
      <c r="S220" s="60">
        <f t="shared" si="126"/>
        <v>2840</v>
      </c>
      <c r="T220" s="60"/>
      <c r="U220" s="32">
        <f t="shared" si="127"/>
        <v>2840</v>
      </c>
      <c r="V220" s="32"/>
      <c r="W220" s="126"/>
      <c r="X220" s="60">
        <v>2840</v>
      </c>
      <c r="Y220" s="60"/>
      <c r="Z220" s="32">
        <f t="shared" si="128"/>
        <v>0</v>
      </c>
      <c r="AA220" s="34" t="s">
        <v>287</v>
      </c>
      <c r="AB220" s="127"/>
    </row>
    <row r="221" spans="1:29" ht="15" customHeight="1" x14ac:dyDescent="0.35">
      <c r="A221" s="264"/>
      <c r="B221" s="265"/>
      <c r="C221" s="265"/>
      <c r="D221" s="70" t="s">
        <v>17</v>
      </c>
      <c r="E221" s="50" t="s">
        <v>281</v>
      </c>
      <c r="F221" s="71" t="s">
        <v>64</v>
      </c>
      <c r="G221" s="27" t="s">
        <v>86</v>
      </c>
      <c r="H221" s="27">
        <v>1</v>
      </c>
      <c r="I221" s="45">
        <v>52300</v>
      </c>
      <c r="J221" s="45">
        <v>52300</v>
      </c>
      <c r="K221" s="45">
        <v>0</v>
      </c>
      <c r="L221" s="45"/>
      <c r="M221" s="45"/>
      <c r="N221" s="45"/>
      <c r="O221" s="45">
        <v>8426.83</v>
      </c>
      <c r="P221" s="118">
        <v>43873.17</v>
      </c>
      <c r="Q221" s="126">
        <v>3121.27</v>
      </c>
      <c r="R221" s="32">
        <f t="shared" si="125"/>
        <v>11548.1</v>
      </c>
      <c r="S221" s="60">
        <f t="shared" si="126"/>
        <v>32325.07</v>
      </c>
      <c r="T221" s="60"/>
      <c r="U221" s="32">
        <f t="shared" si="127"/>
        <v>40751.9</v>
      </c>
      <c r="V221" s="32"/>
      <c r="W221" s="126">
        <v>5000</v>
      </c>
      <c r="X221" s="60">
        <v>35751.9</v>
      </c>
      <c r="Y221" s="60"/>
      <c r="Z221" s="32">
        <f t="shared" si="128"/>
        <v>0</v>
      </c>
      <c r="AA221" s="34" t="s">
        <v>288</v>
      </c>
      <c r="AB221" s="234"/>
    </row>
    <row r="222" spans="1:29" ht="15" customHeight="1" x14ac:dyDescent="0.35">
      <c r="A222" s="264"/>
      <c r="B222" s="265"/>
      <c r="C222" s="265"/>
      <c r="D222" s="70" t="s">
        <v>17</v>
      </c>
      <c r="E222" s="50" t="s">
        <v>281</v>
      </c>
      <c r="F222" s="71" t="s">
        <v>64</v>
      </c>
      <c r="G222" s="27" t="s">
        <v>86</v>
      </c>
      <c r="H222" s="27">
        <v>2</v>
      </c>
      <c r="I222" s="45">
        <v>9065</v>
      </c>
      <c r="J222" s="45">
        <v>18130</v>
      </c>
      <c r="K222" s="45">
        <v>0</v>
      </c>
      <c r="L222" s="45"/>
      <c r="M222" s="45"/>
      <c r="N222" s="45"/>
      <c r="O222" s="45">
        <v>0</v>
      </c>
      <c r="P222" s="118">
        <v>18130</v>
      </c>
      <c r="Q222" s="126">
        <v>975.74</v>
      </c>
      <c r="R222" s="32">
        <f t="shared" si="125"/>
        <v>975.74</v>
      </c>
      <c r="S222" s="60">
        <f t="shared" si="126"/>
        <v>17154.259999999998</v>
      </c>
      <c r="T222" s="60"/>
      <c r="U222" s="32">
        <f t="shared" si="127"/>
        <v>17154.259999999998</v>
      </c>
      <c r="V222" s="32"/>
      <c r="W222" s="126"/>
      <c r="X222" s="60"/>
      <c r="Y222" s="60"/>
      <c r="Z222" s="32">
        <f t="shared" si="128"/>
        <v>17154.259999999998</v>
      </c>
      <c r="AA222" s="34" t="s">
        <v>289</v>
      </c>
      <c r="AB222" s="234" t="s">
        <v>1100</v>
      </c>
    </row>
    <row r="223" spans="1:29" ht="15" customHeight="1" x14ac:dyDescent="0.35">
      <c r="A223" s="264"/>
      <c r="B223" s="265"/>
      <c r="C223" s="265"/>
      <c r="D223" s="70" t="s">
        <v>17</v>
      </c>
      <c r="E223" s="50" t="s">
        <v>281</v>
      </c>
      <c r="F223" s="71" t="s">
        <v>66</v>
      </c>
      <c r="G223" s="27" t="s">
        <v>62</v>
      </c>
      <c r="H223" s="27">
        <v>1</v>
      </c>
      <c r="I223" s="45">
        <v>720</v>
      </c>
      <c r="J223" s="45">
        <v>720</v>
      </c>
      <c r="K223" s="45">
        <v>0</v>
      </c>
      <c r="L223" s="45"/>
      <c r="M223" s="45"/>
      <c r="N223" s="45"/>
      <c r="O223" s="45">
        <v>1108.19</v>
      </c>
      <c r="P223" s="118">
        <v>-388.19000000000005</v>
      </c>
      <c r="Q223" s="126">
        <v>0</v>
      </c>
      <c r="R223" s="32">
        <f t="shared" si="125"/>
        <v>1108.19</v>
      </c>
      <c r="S223" s="60">
        <f t="shared" si="126"/>
        <v>-1496.38</v>
      </c>
      <c r="T223" s="60"/>
      <c r="U223" s="32">
        <f t="shared" si="127"/>
        <v>-388.19000000000005</v>
      </c>
      <c r="V223" s="32"/>
      <c r="W223" s="126"/>
      <c r="X223" s="60"/>
      <c r="Y223" s="60"/>
      <c r="Z223" s="32">
        <f t="shared" si="128"/>
        <v>-388.19000000000005</v>
      </c>
      <c r="AA223" s="34" t="s">
        <v>290</v>
      </c>
      <c r="AB223" s="127"/>
    </row>
    <row r="224" spans="1:29" ht="15" customHeight="1" x14ac:dyDescent="0.35">
      <c r="A224" s="264"/>
      <c r="B224" s="265"/>
      <c r="C224" s="265"/>
      <c r="D224" s="70" t="s">
        <v>17</v>
      </c>
      <c r="E224" s="50" t="s">
        <v>281</v>
      </c>
      <c r="F224" s="71" t="s">
        <v>73</v>
      </c>
      <c r="G224" s="27" t="s">
        <v>86</v>
      </c>
      <c r="H224" s="27">
        <v>4</v>
      </c>
      <c r="I224" s="45">
        <v>250</v>
      </c>
      <c r="J224" s="45">
        <v>1000</v>
      </c>
      <c r="K224" s="45">
        <v>0</v>
      </c>
      <c r="L224" s="45"/>
      <c r="M224" s="45"/>
      <c r="N224" s="45"/>
      <c r="O224" s="45">
        <v>1370.05</v>
      </c>
      <c r="P224" s="118">
        <v>-370.04999999999995</v>
      </c>
      <c r="Q224" s="126">
        <v>0</v>
      </c>
      <c r="R224" s="32">
        <f t="shared" si="125"/>
        <v>1370.05</v>
      </c>
      <c r="S224" s="60">
        <f t="shared" si="126"/>
        <v>-1740.1</v>
      </c>
      <c r="T224" s="60"/>
      <c r="U224" s="32">
        <f t="shared" si="127"/>
        <v>-370.04999999999995</v>
      </c>
      <c r="V224" s="32"/>
      <c r="W224" s="126">
        <v>0</v>
      </c>
      <c r="X224" s="60"/>
      <c r="Y224" s="60"/>
      <c r="Z224" s="32">
        <f t="shared" si="128"/>
        <v>-370.04999999999995</v>
      </c>
      <c r="AA224" s="34" t="s">
        <v>291</v>
      </c>
      <c r="AB224" s="127"/>
    </row>
    <row r="225" spans="1:28" ht="15" customHeight="1" x14ac:dyDescent="0.35">
      <c r="A225" s="264"/>
      <c r="B225" s="265"/>
      <c r="C225" s="265"/>
      <c r="D225" s="70" t="s">
        <v>17</v>
      </c>
      <c r="E225" s="50" t="s">
        <v>281</v>
      </c>
      <c r="F225" s="71" t="s">
        <v>69</v>
      </c>
      <c r="G225" s="27" t="s">
        <v>55</v>
      </c>
      <c r="H225" s="72">
        <v>104</v>
      </c>
      <c r="I225" s="28">
        <v>1100</v>
      </c>
      <c r="J225" s="28">
        <v>114400</v>
      </c>
      <c r="K225" s="28">
        <v>0</v>
      </c>
      <c r="L225" s="28"/>
      <c r="M225" s="28"/>
      <c r="N225" s="28">
        <v>357.67</v>
      </c>
      <c r="O225" s="28">
        <v>2484.88</v>
      </c>
      <c r="P225" s="111">
        <v>111557.45</v>
      </c>
      <c r="Q225" s="126">
        <v>3553.5899999999997</v>
      </c>
      <c r="R225" s="32">
        <f t="shared" si="125"/>
        <v>6396.1399999999994</v>
      </c>
      <c r="S225" s="60">
        <f t="shared" si="126"/>
        <v>105161.31</v>
      </c>
      <c r="T225" s="60"/>
      <c r="U225" s="32">
        <f t="shared" si="127"/>
        <v>108003.86</v>
      </c>
      <c r="V225" s="32"/>
      <c r="W225" s="126"/>
      <c r="X225" s="60">
        <v>25179.83</v>
      </c>
      <c r="Y225" s="60">
        <v>27000</v>
      </c>
      <c r="Z225" s="32">
        <f t="shared" si="128"/>
        <v>55824.03</v>
      </c>
      <c r="AA225" s="34" t="s">
        <v>292</v>
      </c>
      <c r="AB225" s="234" t="s">
        <v>1124</v>
      </c>
    </row>
    <row r="226" spans="1:28" ht="15" customHeight="1" x14ac:dyDescent="0.35">
      <c r="A226" s="264"/>
      <c r="B226" s="265"/>
      <c r="C226" s="265"/>
      <c r="D226" s="70" t="s">
        <v>17</v>
      </c>
      <c r="E226" s="50" t="s">
        <v>281</v>
      </c>
      <c r="F226" s="71" t="s">
        <v>127</v>
      </c>
      <c r="G226" s="27" t="s">
        <v>55</v>
      </c>
      <c r="H226" s="27">
        <v>8</v>
      </c>
      <c r="I226" s="45">
        <v>500</v>
      </c>
      <c r="J226" s="45">
        <v>4000</v>
      </c>
      <c r="K226" s="45">
        <v>0</v>
      </c>
      <c r="L226" s="45"/>
      <c r="M226" s="45"/>
      <c r="N226" s="45"/>
      <c r="O226" s="45">
        <v>0</v>
      </c>
      <c r="P226" s="118">
        <v>4000</v>
      </c>
      <c r="Q226" s="126">
        <v>474.33</v>
      </c>
      <c r="R226" s="32">
        <f t="shared" si="125"/>
        <v>474.33</v>
      </c>
      <c r="S226" s="60">
        <f t="shared" si="126"/>
        <v>3525.67</v>
      </c>
      <c r="T226" s="60"/>
      <c r="U226" s="32">
        <f t="shared" si="127"/>
        <v>3525.67</v>
      </c>
      <c r="V226" s="32"/>
      <c r="W226" s="126">
        <v>2000</v>
      </c>
      <c r="X226" s="60">
        <v>1000</v>
      </c>
      <c r="Y226" s="60">
        <v>525.66999999999996</v>
      </c>
      <c r="Z226" s="32">
        <f t="shared" si="128"/>
        <v>0</v>
      </c>
      <c r="AA226" s="34" t="s">
        <v>293</v>
      </c>
      <c r="AB226" s="127"/>
    </row>
    <row r="227" spans="1:28" ht="15" customHeight="1" x14ac:dyDescent="0.35">
      <c r="A227" s="264"/>
      <c r="B227" s="265"/>
      <c r="C227" s="265"/>
      <c r="D227" s="70" t="s">
        <v>17</v>
      </c>
      <c r="E227" s="50" t="s">
        <v>281</v>
      </c>
      <c r="F227" s="71" t="s">
        <v>123</v>
      </c>
      <c r="G227" s="27" t="s">
        <v>155</v>
      </c>
      <c r="H227" s="27">
        <v>13</v>
      </c>
      <c r="I227" s="45">
        <v>2000</v>
      </c>
      <c r="J227" s="45">
        <v>26000</v>
      </c>
      <c r="K227" s="45">
        <v>0</v>
      </c>
      <c r="L227" s="45"/>
      <c r="M227" s="45"/>
      <c r="N227" s="45"/>
      <c r="O227" s="45">
        <v>0</v>
      </c>
      <c r="P227" s="118">
        <v>26000</v>
      </c>
      <c r="Q227" s="126">
        <v>3325.66</v>
      </c>
      <c r="R227" s="32">
        <f t="shared" si="125"/>
        <v>3325.66</v>
      </c>
      <c r="S227" s="60">
        <f t="shared" si="126"/>
        <v>22674.34</v>
      </c>
      <c r="T227" s="60"/>
      <c r="U227" s="32">
        <f t="shared" si="127"/>
        <v>22674.34</v>
      </c>
      <c r="V227" s="32"/>
      <c r="W227" s="126"/>
      <c r="X227" s="60">
        <v>12000</v>
      </c>
      <c r="Y227" s="60">
        <v>10674.34</v>
      </c>
      <c r="Z227" s="32">
        <f t="shared" si="128"/>
        <v>0</v>
      </c>
      <c r="AA227" s="34" t="s">
        <v>294</v>
      </c>
      <c r="AB227" s="127"/>
    </row>
    <row r="228" spans="1:28" ht="15" customHeight="1" x14ac:dyDescent="0.35">
      <c r="A228" s="264"/>
      <c r="B228" s="265"/>
      <c r="C228" s="265"/>
      <c r="D228" s="70" t="s">
        <v>17</v>
      </c>
      <c r="E228" s="50" t="s">
        <v>281</v>
      </c>
      <c r="F228" s="71" t="s">
        <v>57</v>
      </c>
      <c r="G228" s="27" t="s">
        <v>58</v>
      </c>
      <c r="H228" s="27">
        <v>15</v>
      </c>
      <c r="I228" s="45">
        <v>600</v>
      </c>
      <c r="J228" s="45">
        <v>9000</v>
      </c>
      <c r="K228" s="45">
        <v>0</v>
      </c>
      <c r="L228" s="45"/>
      <c r="M228" s="45"/>
      <c r="N228" s="45"/>
      <c r="O228" s="45">
        <v>0</v>
      </c>
      <c r="P228" s="118">
        <v>9000</v>
      </c>
      <c r="Q228" s="126">
        <v>0</v>
      </c>
      <c r="R228" s="32">
        <f t="shared" si="125"/>
        <v>0</v>
      </c>
      <c r="S228" s="60">
        <f t="shared" si="126"/>
        <v>9000</v>
      </c>
      <c r="T228" s="60"/>
      <c r="U228" s="32">
        <f t="shared" si="127"/>
        <v>9000</v>
      </c>
      <c r="V228" s="32"/>
      <c r="W228" s="126"/>
      <c r="X228" s="60"/>
      <c r="Y228" s="60"/>
      <c r="Z228" s="32">
        <f t="shared" si="128"/>
        <v>9000</v>
      </c>
      <c r="AA228" s="34" t="s">
        <v>295</v>
      </c>
      <c r="AB228" s="234" t="s">
        <v>1101</v>
      </c>
    </row>
    <row r="229" spans="1:28" ht="15" customHeight="1" x14ac:dyDescent="0.35">
      <c r="A229" s="264"/>
      <c r="B229" s="265"/>
      <c r="C229" s="265"/>
      <c r="D229" s="70" t="s">
        <v>17</v>
      </c>
      <c r="E229" s="50" t="s">
        <v>281</v>
      </c>
      <c r="F229" s="71" t="s">
        <v>36</v>
      </c>
      <c r="G229" s="27" t="s">
        <v>55</v>
      </c>
      <c r="H229" s="27">
        <v>1</v>
      </c>
      <c r="I229" s="45">
        <v>3750</v>
      </c>
      <c r="J229" s="45">
        <v>3750</v>
      </c>
      <c r="K229" s="45">
        <v>0</v>
      </c>
      <c r="L229" s="45"/>
      <c r="M229" s="45"/>
      <c r="N229" s="45"/>
      <c r="O229" s="45">
        <v>0</v>
      </c>
      <c r="P229" s="118">
        <v>3750</v>
      </c>
      <c r="Q229" s="126">
        <v>0</v>
      </c>
      <c r="R229" s="32">
        <f t="shared" si="125"/>
        <v>0</v>
      </c>
      <c r="S229" s="60">
        <f t="shared" si="126"/>
        <v>3750</v>
      </c>
      <c r="T229" s="60"/>
      <c r="U229" s="32">
        <f t="shared" si="127"/>
        <v>3750</v>
      </c>
      <c r="V229" s="32"/>
      <c r="W229" s="126"/>
      <c r="X229" s="60">
        <v>2000</v>
      </c>
      <c r="Y229" s="60">
        <v>1750</v>
      </c>
      <c r="Z229" s="32">
        <f t="shared" si="128"/>
        <v>0</v>
      </c>
      <c r="AA229" s="34" t="s">
        <v>296</v>
      </c>
      <c r="AB229" s="127"/>
    </row>
    <row r="230" spans="1:28" ht="15" customHeight="1" x14ac:dyDescent="0.35">
      <c r="A230" s="264"/>
      <c r="B230" s="265"/>
      <c r="C230" s="265"/>
      <c r="D230" s="70" t="s">
        <v>17</v>
      </c>
      <c r="E230" s="50" t="s">
        <v>281</v>
      </c>
      <c r="F230" s="71" t="s">
        <v>39</v>
      </c>
      <c r="G230" s="27" t="s">
        <v>40</v>
      </c>
      <c r="H230" s="27">
        <v>1</v>
      </c>
      <c r="I230" s="45">
        <v>19300</v>
      </c>
      <c r="J230" s="45">
        <v>19300</v>
      </c>
      <c r="K230" s="45">
        <v>0</v>
      </c>
      <c r="L230" s="45"/>
      <c r="M230" s="45"/>
      <c r="N230" s="45">
        <v>336.85</v>
      </c>
      <c r="O230" s="45">
        <v>2314.46</v>
      </c>
      <c r="P230" s="118">
        <v>16648.689999999999</v>
      </c>
      <c r="Q230" s="126">
        <v>1529.9299999999998</v>
      </c>
      <c r="R230" s="32">
        <f t="shared" si="125"/>
        <v>4181.24</v>
      </c>
      <c r="S230" s="60">
        <f t="shared" si="126"/>
        <v>12467.449999999999</v>
      </c>
      <c r="T230" s="60"/>
      <c r="U230" s="32">
        <f t="shared" si="127"/>
        <v>15118.759999999998</v>
      </c>
      <c r="V230" s="32"/>
      <c r="W230" s="126">
        <v>8000</v>
      </c>
      <c r="X230" s="60"/>
      <c r="Y230" s="60"/>
      <c r="Z230" s="32">
        <f t="shared" si="128"/>
        <v>7118.7599999999984</v>
      </c>
      <c r="AA230" s="34" t="s">
        <v>297</v>
      </c>
      <c r="AB230" s="127"/>
    </row>
    <row r="231" spans="1:28" ht="15" customHeight="1" x14ac:dyDescent="0.35">
      <c r="A231" s="264"/>
      <c r="B231" s="265"/>
      <c r="C231" s="265"/>
      <c r="D231" s="70" t="s">
        <v>17</v>
      </c>
      <c r="E231" s="50" t="s">
        <v>281</v>
      </c>
      <c r="F231" s="71" t="s">
        <v>130</v>
      </c>
      <c r="G231" s="27" t="s">
        <v>40</v>
      </c>
      <c r="H231" s="27">
        <v>65</v>
      </c>
      <c r="I231" s="45">
        <v>1000</v>
      </c>
      <c r="J231" s="45">
        <v>65000</v>
      </c>
      <c r="K231" s="45">
        <v>0</v>
      </c>
      <c r="L231" s="45"/>
      <c r="M231" s="45"/>
      <c r="N231" s="45"/>
      <c r="O231" s="45">
        <v>1733.13</v>
      </c>
      <c r="P231" s="118">
        <v>63266.87</v>
      </c>
      <c r="Q231" s="126">
        <v>0</v>
      </c>
      <c r="R231" s="32">
        <f t="shared" si="125"/>
        <v>1733.13</v>
      </c>
      <c r="S231" s="60">
        <f t="shared" si="126"/>
        <v>61533.740000000005</v>
      </c>
      <c r="T231" s="60"/>
      <c r="U231" s="32">
        <f t="shared" si="127"/>
        <v>63266.87</v>
      </c>
      <c r="V231" s="32"/>
      <c r="W231" s="126"/>
      <c r="X231" s="60">
        <v>16000</v>
      </c>
      <c r="Y231" s="60">
        <v>15666.87</v>
      </c>
      <c r="Z231" s="32">
        <f t="shared" si="128"/>
        <v>31600</v>
      </c>
      <c r="AA231" s="34" t="s">
        <v>298</v>
      </c>
      <c r="AB231" s="127"/>
    </row>
    <row r="232" spans="1:28" ht="15" customHeight="1" x14ac:dyDescent="0.35">
      <c r="A232" s="264"/>
      <c r="B232" s="265"/>
      <c r="C232" s="265"/>
      <c r="D232" s="70" t="s">
        <v>17</v>
      </c>
      <c r="E232" s="50" t="s">
        <v>281</v>
      </c>
      <c r="F232" s="71" t="s">
        <v>61</v>
      </c>
      <c r="G232" s="27" t="s">
        <v>86</v>
      </c>
      <c r="H232" s="27">
        <v>1</v>
      </c>
      <c r="I232" s="45">
        <v>5500</v>
      </c>
      <c r="J232" s="45">
        <v>5500</v>
      </c>
      <c r="K232" s="45">
        <v>0</v>
      </c>
      <c r="L232" s="45"/>
      <c r="M232" s="45">
        <v>1475.49</v>
      </c>
      <c r="N232" s="45"/>
      <c r="O232" s="45">
        <v>4024.5</v>
      </c>
      <c r="P232" s="118">
        <v>1.0000000000218279E-2</v>
      </c>
      <c r="Q232" s="126">
        <v>0</v>
      </c>
      <c r="R232" s="32">
        <f t="shared" si="125"/>
        <v>5499.99</v>
      </c>
      <c r="S232" s="60">
        <f t="shared" si="126"/>
        <v>-5499.98</v>
      </c>
      <c r="T232" s="60"/>
      <c r="U232" s="32">
        <f t="shared" si="127"/>
        <v>1.0000000000218279E-2</v>
      </c>
      <c r="V232" s="32"/>
      <c r="W232" s="126"/>
      <c r="X232" s="60"/>
      <c r="Y232" s="60"/>
      <c r="Z232" s="32">
        <f t="shared" si="128"/>
        <v>1.0000000000218279E-2</v>
      </c>
      <c r="AA232" s="34" t="s">
        <v>299</v>
      </c>
      <c r="AB232" s="127"/>
    </row>
    <row r="233" spans="1:28" ht="15" customHeight="1" x14ac:dyDescent="0.35">
      <c r="A233" s="264"/>
      <c r="B233" s="265"/>
      <c r="C233" s="265"/>
      <c r="D233" s="70" t="s">
        <v>17</v>
      </c>
      <c r="E233" s="50" t="s">
        <v>281</v>
      </c>
      <c r="F233" s="71" t="s">
        <v>64</v>
      </c>
      <c r="G233" s="27" t="s">
        <v>86</v>
      </c>
      <c r="H233" s="27">
        <v>1</v>
      </c>
      <c r="I233" s="45">
        <v>129350</v>
      </c>
      <c r="J233" s="45">
        <v>129350</v>
      </c>
      <c r="K233" s="45">
        <v>0</v>
      </c>
      <c r="L233" s="45"/>
      <c r="M233" s="45"/>
      <c r="N233" s="45"/>
      <c r="O233" s="45">
        <v>32946.11</v>
      </c>
      <c r="P233" s="118">
        <v>96403.89</v>
      </c>
      <c r="Q233" s="126">
        <v>2733.2</v>
      </c>
      <c r="R233" s="32">
        <f t="shared" si="125"/>
        <v>35679.31</v>
      </c>
      <c r="S233" s="60">
        <f t="shared" si="126"/>
        <v>60724.58</v>
      </c>
      <c r="T233" s="60"/>
      <c r="U233" s="32">
        <f t="shared" si="127"/>
        <v>93670.69</v>
      </c>
      <c r="V233" s="32"/>
      <c r="W233" s="126"/>
      <c r="X233" s="60">
        <v>47290.69</v>
      </c>
      <c r="Y233" s="60"/>
      <c r="Z233" s="32">
        <f t="shared" si="128"/>
        <v>46380</v>
      </c>
      <c r="AA233" s="34" t="s">
        <v>300</v>
      </c>
      <c r="AB233" s="127" t="s">
        <v>1125</v>
      </c>
    </row>
    <row r="234" spans="1:28" ht="15" customHeight="1" x14ac:dyDescent="0.35">
      <c r="A234" s="264"/>
      <c r="B234" s="265"/>
      <c r="C234" s="265"/>
      <c r="D234" s="70" t="s">
        <v>17</v>
      </c>
      <c r="E234" s="50" t="s">
        <v>281</v>
      </c>
      <c r="F234" s="71" t="s">
        <v>64</v>
      </c>
      <c r="G234" s="27" t="s">
        <v>86</v>
      </c>
      <c r="H234" s="27">
        <v>1</v>
      </c>
      <c r="I234" s="45">
        <v>2600</v>
      </c>
      <c r="J234" s="45">
        <v>2600</v>
      </c>
      <c r="K234" s="45">
        <v>0</v>
      </c>
      <c r="L234" s="45"/>
      <c r="M234" s="45"/>
      <c r="N234" s="45"/>
      <c r="O234" s="45">
        <v>4807.29</v>
      </c>
      <c r="P234" s="118">
        <v>-2207.29</v>
      </c>
      <c r="Q234" s="126">
        <v>0</v>
      </c>
      <c r="R234" s="32">
        <f t="shared" si="125"/>
        <v>4807.29</v>
      </c>
      <c r="S234" s="60">
        <f t="shared" si="126"/>
        <v>-7014.58</v>
      </c>
      <c r="T234" s="60"/>
      <c r="U234" s="32">
        <f t="shared" si="127"/>
        <v>-2207.29</v>
      </c>
      <c r="V234" s="32"/>
      <c r="W234" s="126"/>
      <c r="X234" s="60"/>
      <c r="Y234" s="60"/>
      <c r="Z234" s="32">
        <f t="shared" si="128"/>
        <v>-2207.29</v>
      </c>
      <c r="AA234" s="34" t="s">
        <v>301</v>
      </c>
      <c r="AB234" s="127"/>
    </row>
    <row r="235" spans="1:28" ht="15" customHeight="1" x14ac:dyDescent="0.35">
      <c r="A235" s="264"/>
      <c r="B235" s="265"/>
      <c r="C235" s="265"/>
      <c r="D235" s="70" t="s">
        <v>17</v>
      </c>
      <c r="E235" s="50" t="s">
        <v>281</v>
      </c>
      <c r="F235" s="71" t="s">
        <v>132</v>
      </c>
      <c r="G235" s="27" t="s">
        <v>155</v>
      </c>
      <c r="H235" s="27">
        <v>13</v>
      </c>
      <c r="I235" s="45">
        <v>3000</v>
      </c>
      <c r="J235" s="45">
        <v>78000</v>
      </c>
      <c r="K235" s="45">
        <v>0</v>
      </c>
      <c r="L235" s="45"/>
      <c r="M235" s="45"/>
      <c r="N235" s="45"/>
      <c r="O235" s="45">
        <v>1896.12</v>
      </c>
      <c r="P235" s="118">
        <v>76103.88</v>
      </c>
      <c r="Q235" s="126">
        <v>1323.7</v>
      </c>
      <c r="R235" s="32">
        <f t="shared" si="125"/>
        <v>3219.8199999999997</v>
      </c>
      <c r="S235" s="60">
        <f t="shared" si="126"/>
        <v>72884.06</v>
      </c>
      <c r="T235" s="60"/>
      <c r="U235" s="32">
        <f t="shared" si="127"/>
        <v>74780.180000000008</v>
      </c>
      <c r="V235" s="32"/>
      <c r="W235" s="126">
        <v>37500</v>
      </c>
      <c r="X235" s="60">
        <v>20000</v>
      </c>
      <c r="Y235" s="60">
        <v>17280.18</v>
      </c>
      <c r="Z235" s="32">
        <f t="shared" si="128"/>
        <v>0</v>
      </c>
      <c r="AA235" s="34" t="s">
        <v>302</v>
      </c>
      <c r="AB235" s="127"/>
    </row>
    <row r="236" spans="1:28" ht="15" customHeight="1" x14ac:dyDescent="0.35">
      <c r="A236" s="264"/>
      <c r="B236" s="265"/>
      <c r="C236" s="73"/>
      <c r="D236" s="73"/>
      <c r="E236" s="53"/>
      <c r="F236" s="74"/>
      <c r="G236" s="41"/>
      <c r="H236" s="41"/>
      <c r="I236" s="54"/>
      <c r="J236" s="54">
        <f>SUM(J216:J235)</f>
        <v>719896</v>
      </c>
      <c r="K236" s="54">
        <f t="shared" ref="K236:L236" si="129">SUM(K216:K235)</f>
        <v>0</v>
      </c>
      <c r="L236" s="54">
        <f t="shared" si="129"/>
        <v>0</v>
      </c>
      <c r="M236" s="54">
        <v>32348.420000000002</v>
      </c>
      <c r="N236" s="54">
        <v>26521.35</v>
      </c>
      <c r="O236" s="54">
        <v>86451.119999999981</v>
      </c>
      <c r="P236" s="54">
        <f>SUM(P216:P235)</f>
        <v>574575.1100000001</v>
      </c>
      <c r="Q236" s="54">
        <f t="shared" ref="Q236:Z236" si="130">SUM(Q216:Q235)</f>
        <v>45342.549999999996</v>
      </c>
      <c r="R236" s="54">
        <f t="shared" si="130"/>
        <v>190663.44</v>
      </c>
      <c r="S236" s="54">
        <f t="shared" si="130"/>
        <v>383911.67</v>
      </c>
      <c r="T236" s="54">
        <f t="shared" si="130"/>
        <v>0</v>
      </c>
      <c r="U236" s="54">
        <f t="shared" si="130"/>
        <v>529232.56000000006</v>
      </c>
      <c r="V236" s="54">
        <f t="shared" si="130"/>
        <v>0</v>
      </c>
      <c r="W236" s="54">
        <f t="shared" si="130"/>
        <v>54200</v>
      </c>
      <c r="X236" s="54">
        <f t="shared" si="130"/>
        <v>185433.86</v>
      </c>
      <c r="Y236" s="54">
        <f t="shared" si="130"/>
        <v>93499.06</v>
      </c>
      <c r="Z236" s="54">
        <f t="shared" si="130"/>
        <v>196099.63999999998</v>
      </c>
      <c r="AA236" s="49"/>
      <c r="AB236" s="128"/>
    </row>
    <row r="237" spans="1:28" ht="24" customHeight="1" x14ac:dyDescent="0.35">
      <c r="A237" s="264"/>
      <c r="B237" s="265"/>
      <c r="C237" s="265" t="s">
        <v>303</v>
      </c>
      <c r="D237" s="70" t="s">
        <v>304</v>
      </c>
      <c r="E237" s="50" t="s">
        <v>305</v>
      </c>
      <c r="F237" s="71" t="s">
        <v>28</v>
      </c>
      <c r="G237" s="27" t="s">
        <v>29</v>
      </c>
      <c r="H237" s="27">
        <v>78</v>
      </c>
      <c r="I237" s="45">
        <v>1359</v>
      </c>
      <c r="J237" s="45">
        <v>131466</v>
      </c>
      <c r="K237" s="45">
        <v>0</v>
      </c>
      <c r="L237" s="45">
        <v>0</v>
      </c>
      <c r="M237" s="45">
        <v>23877.65</v>
      </c>
      <c r="N237" s="45">
        <v>7680.75</v>
      </c>
      <c r="O237" s="45">
        <v>26747.200000000001</v>
      </c>
      <c r="P237" s="118">
        <v>73160.399999999994</v>
      </c>
      <c r="Q237" s="126">
        <v>25423.86</v>
      </c>
      <c r="R237" s="32">
        <f t="shared" ref="R237:R245" si="131">L237+M237+N237+O237+Q237</f>
        <v>83729.460000000006</v>
      </c>
      <c r="S237" s="60">
        <f t="shared" ref="S237:S245" si="132">P237-R237</f>
        <v>-10569.060000000012</v>
      </c>
      <c r="T237" s="60">
        <f t="shared" ref="T237:T245" si="133">P237-R237</f>
        <v>-10569.060000000012</v>
      </c>
      <c r="U237" s="32">
        <f t="shared" ref="U237:U245" si="134">P237-Q237</f>
        <v>47736.539999999994</v>
      </c>
      <c r="V237" s="32">
        <v>1700</v>
      </c>
      <c r="W237" s="126"/>
      <c r="X237" s="60">
        <v>28700</v>
      </c>
      <c r="Y237" s="60">
        <v>28700</v>
      </c>
      <c r="Z237" s="32">
        <f t="shared" ref="Z237:Z245" si="135">U237-(W237+X237+Y237)</f>
        <v>-9663.4600000000064</v>
      </c>
      <c r="AA237" s="34" t="s">
        <v>306</v>
      </c>
      <c r="AB237" s="127" t="s">
        <v>1122</v>
      </c>
    </row>
    <row r="238" spans="1:28" ht="29" customHeight="1" x14ac:dyDescent="0.35">
      <c r="A238" s="264"/>
      <c r="B238" s="265"/>
      <c r="C238" s="265"/>
      <c r="D238" s="70" t="s">
        <v>17</v>
      </c>
      <c r="E238" s="50" t="s">
        <v>305</v>
      </c>
      <c r="F238" s="71" t="s">
        <v>53</v>
      </c>
      <c r="G238" s="27" t="s">
        <v>86</v>
      </c>
      <c r="H238" s="27">
        <v>4</v>
      </c>
      <c r="I238" s="45">
        <v>15000</v>
      </c>
      <c r="J238" s="45">
        <v>60000</v>
      </c>
      <c r="K238" s="45">
        <v>0</v>
      </c>
      <c r="L238" s="45"/>
      <c r="M238" s="45"/>
      <c r="N238" s="45"/>
      <c r="O238" s="45">
        <v>0</v>
      </c>
      <c r="P238" s="118">
        <v>60000</v>
      </c>
      <c r="Q238" s="126">
        <v>0</v>
      </c>
      <c r="R238" s="32">
        <f t="shared" si="131"/>
        <v>0</v>
      </c>
      <c r="S238" s="60">
        <f t="shared" si="132"/>
        <v>60000</v>
      </c>
      <c r="T238" s="60">
        <f t="shared" si="133"/>
        <v>60000</v>
      </c>
      <c r="U238" s="32">
        <f t="shared" si="134"/>
        <v>60000</v>
      </c>
      <c r="V238" s="32">
        <v>42000</v>
      </c>
      <c r="W238" s="126"/>
      <c r="X238" s="60">
        <v>6636.54</v>
      </c>
      <c r="Y238" s="60"/>
      <c r="Z238" s="32">
        <f t="shared" si="135"/>
        <v>53363.46</v>
      </c>
      <c r="AA238" s="34" t="s">
        <v>307</v>
      </c>
      <c r="AB238" s="234" t="s">
        <v>1121</v>
      </c>
    </row>
    <row r="239" spans="1:28" ht="15" customHeight="1" x14ac:dyDescent="0.35">
      <c r="A239" s="264"/>
      <c r="B239" s="265"/>
      <c r="C239" s="265"/>
      <c r="D239" s="70" t="s">
        <v>17</v>
      </c>
      <c r="E239" s="50" t="s">
        <v>305</v>
      </c>
      <c r="F239" s="71" t="s">
        <v>69</v>
      </c>
      <c r="G239" s="27" t="s">
        <v>37</v>
      </c>
      <c r="H239" s="27">
        <v>32</v>
      </c>
      <c r="I239" s="45">
        <v>1100</v>
      </c>
      <c r="J239" s="45">
        <v>140800</v>
      </c>
      <c r="K239" s="45">
        <v>0</v>
      </c>
      <c r="L239" s="45"/>
      <c r="M239" s="45"/>
      <c r="N239" s="45"/>
      <c r="O239" s="45">
        <v>7846.9699999999993</v>
      </c>
      <c r="P239" s="118">
        <v>132953.03</v>
      </c>
      <c r="Q239" s="126">
        <v>1025.8399999999999</v>
      </c>
      <c r="R239" s="32">
        <f t="shared" si="131"/>
        <v>8872.81</v>
      </c>
      <c r="S239" s="60">
        <f t="shared" si="132"/>
        <v>124080.22</v>
      </c>
      <c r="T239" s="60">
        <f t="shared" si="133"/>
        <v>124080.22</v>
      </c>
      <c r="U239" s="32">
        <f t="shared" si="134"/>
        <v>131927.19</v>
      </c>
      <c r="V239" s="32">
        <v>26400</v>
      </c>
      <c r="W239" s="126"/>
      <c r="X239" s="60">
        <v>55000</v>
      </c>
      <c r="Y239" s="60">
        <v>50527.19</v>
      </c>
      <c r="Z239" s="32">
        <f t="shared" si="135"/>
        <v>26400</v>
      </c>
      <c r="AA239" s="34" t="s">
        <v>308</v>
      </c>
      <c r="AB239" s="127" t="s">
        <v>563</v>
      </c>
    </row>
    <row r="240" spans="1:28" ht="15" customHeight="1" x14ac:dyDescent="0.35">
      <c r="A240" s="264"/>
      <c r="B240" s="265"/>
      <c r="C240" s="265"/>
      <c r="D240" s="70" t="s">
        <v>17</v>
      </c>
      <c r="E240" s="50" t="s">
        <v>305</v>
      </c>
      <c r="F240" s="71" t="s">
        <v>39</v>
      </c>
      <c r="G240" s="27" t="s">
        <v>40</v>
      </c>
      <c r="H240" s="27">
        <v>16</v>
      </c>
      <c r="I240" s="45">
        <v>1000</v>
      </c>
      <c r="J240" s="45">
        <v>16000</v>
      </c>
      <c r="K240" s="45">
        <v>0</v>
      </c>
      <c r="L240" s="45"/>
      <c r="M240" s="45"/>
      <c r="N240" s="45"/>
      <c r="O240" s="45">
        <v>7088.6900000000005</v>
      </c>
      <c r="P240" s="118">
        <v>8911.31</v>
      </c>
      <c r="Q240" s="126">
        <v>0</v>
      </c>
      <c r="R240" s="32">
        <f t="shared" si="131"/>
        <v>7088.6900000000005</v>
      </c>
      <c r="S240" s="60">
        <f t="shared" si="132"/>
        <v>1822.619999999999</v>
      </c>
      <c r="T240" s="60">
        <f t="shared" si="133"/>
        <v>1822.619999999999</v>
      </c>
      <c r="U240" s="32">
        <f t="shared" si="134"/>
        <v>8911.31</v>
      </c>
      <c r="V240" s="32">
        <v>4455.6549999999997</v>
      </c>
      <c r="W240" s="126"/>
      <c r="X240" s="60">
        <v>2455.66</v>
      </c>
      <c r="Y240" s="60">
        <v>2000</v>
      </c>
      <c r="Z240" s="32">
        <f t="shared" si="135"/>
        <v>4455.6499999999996</v>
      </c>
      <c r="AA240" s="34" t="s">
        <v>309</v>
      </c>
      <c r="AB240" s="127"/>
    </row>
    <row r="241" spans="1:28" ht="15" customHeight="1" x14ac:dyDescent="0.35">
      <c r="A241" s="264"/>
      <c r="B241" s="265"/>
      <c r="C241" s="265"/>
      <c r="D241" s="70" t="s">
        <v>17</v>
      </c>
      <c r="E241" s="50" t="s">
        <v>305</v>
      </c>
      <c r="F241" s="71" t="s">
        <v>64</v>
      </c>
      <c r="G241" s="27" t="s">
        <v>86</v>
      </c>
      <c r="H241" s="27">
        <v>1</v>
      </c>
      <c r="I241" s="45">
        <v>3500</v>
      </c>
      <c r="J241" s="45">
        <v>3500</v>
      </c>
      <c r="K241" s="45">
        <v>0</v>
      </c>
      <c r="L241" s="45"/>
      <c r="M241" s="45"/>
      <c r="N241" s="45"/>
      <c r="O241" s="45">
        <v>488.18</v>
      </c>
      <c r="P241" s="118">
        <v>3011.82</v>
      </c>
      <c r="Q241" s="126">
        <v>0</v>
      </c>
      <c r="R241" s="32">
        <f t="shared" si="131"/>
        <v>488.18</v>
      </c>
      <c r="S241" s="60">
        <f t="shared" si="132"/>
        <v>2523.6400000000003</v>
      </c>
      <c r="T241" s="60">
        <f t="shared" si="133"/>
        <v>2523.6400000000003</v>
      </c>
      <c r="U241" s="32">
        <f t="shared" si="134"/>
        <v>3011.82</v>
      </c>
      <c r="V241" s="32"/>
      <c r="W241" s="126"/>
      <c r="X241" s="60">
        <v>3011.82</v>
      </c>
      <c r="Y241" s="60"/>
      <c r="Z241" s="32">
        <f t="shared" si="135"/>
        <v>0</v>
      </c>
      <c r="AA241" s="34" t="s">
        <v>310</v>
      </c>
      <c r="AB241" s="127"/>
    </row>
    <row r="242" spans="1:28" ht="15" customHeight="1" x14ac:dyDescent="0.35">
      <c r="A242" s="264"/>
      <c r="B242" s="265"/>
      <c r="C242" s="265"/>
      <c r="D242" s="70" t="s">
        <v>17</v>
      </c>
      <c r="E242" s="50" t="s">
        <v>305</v>
      </c>
      <c r="F242" s="71" t="s">
        <v>73</v>
      </c>
      <c r="G242" s="27" t="s">
        <v>62</v>
      </c>
      <c r="H242" s="27">
        <v>4</v>
      </c>
      <c r="I242" s="45">
        <v>250</v>
      </c>
      <c r="J242" s="45">
        <v>1000</v>
      </c>
      <c r="K242" s="45">
        <v>0</v>
      </c>
      <c r="L242" s="45"/>
      <c r="M242" s="45"/>
      <c r="N242" s="45"/>
      <c r="O242" s="45">
        <v>3284.05</v>
      </c>
      <c r="P242" s="118">
        <v>-2284.0500000000002</v>
      </c>
      <c r="Q242" s="126">
        <v>0</v>
      </c>
      <c r="R242" s="32">
        <f t="shared" si="131"/>
        <v>3284.05</v>
      </c>
      <c r="S242" s="60">
        <f t="shared" si="132"/>
        <v>-5568.1</v>
      </c>
      <c r="T242" s="60">
        <f t="shared" si="133"/>
        <v>-5568.1</v>
      </c>
      <c r="U242" s="32">
        <f t="shared" si="134"/>
        <v>-2284.0500000000002</v>
      </c>
      <c r="V242" s="32">
        <v>2000</v>
      </c>
      <c r="W242" s="126"/>
      <c r="X242" s="60"/>
      <c r="Y242" s="60"/>
      <c r="Z242" s="32">
        <f t="shared" si="135"/>
        <v>-2284.0500000000002</v>
      </c>
      <c r="AA242" s="34" t="s">
        <v>311</v>
      </c>
      <c r="AB242" s="127" t="s">
        <v>564</v>
      </c>
    </row>
    <row r="243" spans="1:28" ht="15" customHeight="1" x14ac:dyDescent="0.35">
      <c r="A243" s="264"/>
      <c r="B243" s="265"/>
      <c r="C243" s="265"/>
      <c r="D243" s="70" t="s">
        <v>17</v>
      </c>
      <c r="E243" s="50" t="s">
        <v>305</v>
      </c>
      <c r="F243" s="71" t="s">
        <v>123</v>
      </c>
      <c r="G243" s="27" t="s">
        <v>62</v>
      </c>
      <c r="H243" s="27">
        <v>4</v>
      </c>
      <c r="I243" s="45">
        <v>3000</v>
      </c>
      <c r="J243" s="45">
        <v>12000</v>
      </c>
      <c r="K243" s="45">
        <v>0</v>
      </c>
      <c r="L243" s="45"/>
      <c r="M243" s="45"/>
      <c r="N243" s="45"/>
      <c r="O243" s="45">
        <v>0</v>
      </c>
      <c r="P243" s="118">
        <v>12000</v>
      </c>
      <c r="Q243" s="126">
        <v>272.55</v>
      </c>
      <c r="R243" s="32">
        <f t="shared" si="131"/>
        <v>272.55</v>
      </c>
      <c r="S243" s="60">
        <f t="shared" si="132"/>
        <v>11727.45</v>
      </c>
      <c r="T243" s="60">
        <f t="shared" si="133"/>
        <v>11727.45</v>
      </c>
      <c r="U243" s="32">
        <f t="shared" si="134"/>
        <v>11727.45</v>
      </c>
      <c r="V243" s="32"/>
      <c r="W243" s="126"/>
      <c r="X243" s="60">
        <v>6000</v>
      </c>
      <c r="Y243" s="60">
        <v>5727.45</v>
      </c>
      <c r="Z243" s="32">
        <f t="shared" si="135"/>
        <v>0</v>
      </c>
      <c r="AA243" s="34" t="s">
        <v>312</v>
      </c>
      <c r="AB243" s="127"/>
    </row>
    <row r="244" spans="1:28" ht="15" customHeight="1" x14ac:dyDescent="0.35">
      <c r="A244" s="264"/>
      <c r="B244" s="265"/>
      <c r="C244" s="265"/>
      <c r="D244" s="70" t="s">
        <v>17</v>
      </c>
      <c r="E244" s="50" t="s">
        <v>305</v>
      </c>
      <c r="F244" s="71" t="s">
        <v>132</v>
      </c>
      <c r="G244" s="27" t="s">
        <v>86</v>
      </c>
      <c r="H244" s="27">
        <v>1</v>
      </c>
      <c r="I244" s="45">
        <v>7000</v>
      </c>
      <c r="J244" s="45">
        <v>7000</v>
      </c>
      <c r="K244" s="45">
        <v>0</v>
      </c>
      <c r="L244" s="45"/>
      <c r="M244" s="45"/>
      <c r="N244" s="45"/>
      <c r="O244" s="45">
        <v>1498.58</v>
      </c>
      <c r="P244" s="118">
        <v>5501.42</v>
      </c>
      <c r="Q244" s="126">
        <v>0</v>
      </c>
      <c r="R244" s="32">
        <f t="shared" si="131"/>
        <v>1498.58</v>
      </c>
      <c r="S244" s="60">
        <f t="shared" si="132"/>
        <v>4002.84</v>
      </c>
      <c r="T244" s="60">
        <f t="shared" si="133"/>
        <v>4002.84</v>
      </c>
      <c r="U244" s="32">
        <f t="shared" si="134"/>
        <v>5501.42</v>
      </c>
      <c r="V244" s="32">
        <v>5000</v>
      </c>
      <c r="W244" s="126"/>
      <c r="X244" s="60">
        <v>501.42</v>
      </c>
      <c r="Y244" s="60"/>
      <c r="Z244" s="32">
        <f t="shared" si="135"/>
        <v>5000</v>
      </c>
      <c r="AA244" s="34" t="s">
        <v>313</v>
      </c>
      <c r="AB244" s="127" t="s">
        <v>565</v>
      </c>
    </row>
    <row r="245" spans="1:28" ht="14.75" customHeight="1" x14ac:dyDescent="0.35">
      <c r="A245" s="264"/>
      <c r="B245" s="265"/>
      <c r="C245" s="265"/>
      <c r="D245" s="70" t="s">
        <v>17</v>
      </c>
      <c r="E245" s="50" t="s">
        <v>305</v>
      </c>
      <c r="F245" s="71" t="s">
        <v>66</v>
      </c>
      <c r="G245" s="27" t="s">
        <v>86</v>
      </c>
      <c r="H245" s="27">
        <v>4</v>
      </c>
      <c r="I245" s="45">
        <v>500</v>
      </c>
      <c r="J245" s="45">
        <v>2000</v>
      </c>
      <c r="K245" s="45">
        <v>0</v>
      </c>
      <c r="L245" s="45"/>
      <c r="M245" s="45"/>
      <c r="N245" s="45"/>
      <c r="O245" s="45">
        <v>0</v>
      </c>
      <c r="P245" s="118">
        <v>2000</v>
      </c>
      <c r="Q245" s="126">
        <v>814.65</v>
      </c>
      <c r="R245" s="32">
        <f t="shared" si="131"/>
        <v>814.65</v>
      </c>
      <c r="S245" s="60">
        <f t="shared" si="132"/>
        <v>1185.3499999999999</v>
      </c>
      <c r="T245" s="60">
        <f t="shared" si="133"/>
        <v>1185.3499999999999</v>
      </c>
      <c r="U245" s="32">
        <f t="shared" si="134"/>
        <v>1185.3499999999999</v>
      </c>
      <c r="V245" s="32">
        <v>1000</v>
      </c>
      <c r="W245" s="126"/>
      <c r="X245" s="60">
        <v>100</v>
      </c>
      <c r="Y245" s="60">
        <v>85.35</v>
      </c>
      <c r="Z245" s="32">
        <f t="shared" si="135"/>
        <v>999.99999999999989</v>
      </c>
      <c r="AA245" s="34" t="s">
        <v>314</v>
      </c>
      <c r="AB245" s="127"/>
    </row>
    <row r="246" spans="1:28" ht="15" customHeight="1" x14ac:dyDescent="0.35">
      <c r="A246" s="264"/>
      <c r="B246" s="265"/>
      <c r="C246" s="73"/>
      <c r="D246" s="73"/>
      <c r="E246" s="53"/>
      <c r="F246" s="74"/>
      <c r="G246" s="41"/>
      <c r="H246" s="41"/>
      <c r="I246" s="54"/>
      <c r="J246" s="54">
        <f>SUM(J237:J245)</f>
        <v>373766</v>
      </c>
      <c r="K246" s="54">
        <f t="shared" ref="K246:L246" si="136">SUM(K237:K245)</f>
        <v>0</v>
      </c>
      <c r="L246" s="54">
        <f t="shared" si="136"/>
        <v>0</v>
      </c>
      <c r="M246" s="54">
        <v>23877.65</v>
      </c>
      <c r="N246" s="54">
        <v>7680.75</v>
      </c>
      <c r="O246" s="54">
        <v>46953.670000000006</v>
      </c>
      <c r="P246" s="54">
        <f>SUM(P237:P245)</f>
        <v>295253.93</v>
      </c>
      <c r="Q246" s="54">
        <f t="shared" ref="Q246:Z246" si="137">SUM(Q237:Q245)</f>
        <v>27536.9</v>
      </c>
      <c r="R246" s="54">
        <f t="shared" si="137"/>
        <v>106048.97</v>
      </c>
      <c r="S246" s="54">
        <f t="shared" si="137"/>
        <v>189204.96</v>
      </c>
      <c r="T246" s="54">
        <f t="shared" si="137"/>
        <v>189204.96</v>
      </c>
      <c r="U246" s="54">
        <f t="shared" si="137"/>
        <v>267717.02999999997</v>
      </c>
      <c r="V246" s="54">
        <f t="shared" si="137"/>
        <v>82555.654999999999</v>
      </c>
      <c r="W246" s="54">
        <f t="shared" si="137"/>
        <v>0</v>
      </c>
      <c r="X246" s="54">
        <f t="shared" si="137"/>
        <v>102405.44000000002</v>
      </c>
      <c r="Y246" s="54">
        <f t="shared" si="137"/>
        <v>87039.99</v>
      </c>
      <c r="Z246" s="54">
        <f t="shared" si="137"/>
        <v>78271.599999999991</v>
      </c>
      <c r="AA246" s="49"/>
      <c r="AB246" s="141" t="s">
        <v>566</v>
      </c>
    </row>
    <row r="247" spans="1:28" ht="25" customHeight="1" x14ac:dyDescent="0.35">
      <c r="A247" s="264"/>
      <c r="B247" s="265"/>
      <c r="C247" s="265" t="s">
        <v>315</v>
      </c>
      <c r="D247" s="70" t="s">
        <v>17</v>
      </c>
      <c r="E247" s="50" t="s">
        <v>316</v>
      </c>
      <c r="F247" s="71" t="s">
        <v>28</v>
      </c>
      <c r="G247" s="27" t="s">
        <v>29</v>
      </c>
      <c r="H247" s="27">
        <v>78</v>
      </c>
      <c r="I247" s="45">
        <v>1359</v>
      </c>
      <c r="J247" s="45">
        <v>131466</v>
      </c>
      <c r="K247" s="45">
        <v>0</v>
      </c>
      <c r="L247" s="45">
        <v>0</v>
      </c>
      <c r="M247" s="45">
        <v>23606.95</v>
      </c>
      <c r="N247" s="45">
        <v>25339.52</v>
      </c>
      <c r="O247" s="45">
        <v>9064.9599999999991</v>
      </c>
      <c r="P247" s="118">
        <v>73454.570000000007</v>
      </c>
      <c r="Q247" s="115">
        <v>25912.78</v>
      </c>
      <c r="R247" s="32">
        <f t="shared" ref="R247:R260" si="138">L247+M247+N247+O247+Q247</f>
        <v>83924.209999999992</v>
      </c>
      <c r="S247" s="32">
        <f t="shared" ref="S247:S259" si="139">P247-R247</f>
        <v>-10469.639999999985</v>
      </c>
      <c r="T247" s="32">
        <f t="shared" ref="T247:T259" si="140">P247-R247</f>
        <v>-10469.639999999985</v>
      </c>
      <c r="U247" s="32">
        <f t="shared" ref="U247:U260" si="141">P247-Q247</f>
        <v>47541.790000000008</v>
      </c>
      <c r="V247" s="32">
        <v>28000</v>
      </c>
      <c r="W247" s="115"/>
      <c r="X247" s="60">
        <v>28700</v>
      </c>
      <c r="Y247" s="60">
        <v>28700</v>
      </c>
      <c r="Z247" s="32">
        <f t="shared" ref="Z247:Z260" si="142">U247-(W247+X247+Y247)</f>
        <v>-9858.2099999999919</v>
      </c>
      <c r="AA247" s="34" t="s">
        <v>317</v>
      </c>
      <c r="AB247" s="234" t="s">
        <v>1128</v>
      </c>
    </row>
    <row r="248" spans="1:28" ht="15" customHeight="1" x14ac:dyDescent="0.35">
      <c r="A248" s="264"/>
      <c r="B248" s="265"/>
      <c r="C248" s="265"/>
      <c r="D248" s="70" t="s">
        <v>17</v>
      </c>
      <c r="E248" s="50" t="s">
        <v>316</v>
      </c>
      <c r="F248" s="71" t="s">
        <v>57</v>
      </c>
      <c r="G248" s="27" t="s">
        <v>58</v>
      </c>
      <c r="H248" s="27">
        <v>15</v>
      </c>
      <c r="I248" s="45">
        <v>600</v>
      </c>
      <c r="J248" s="45">
        <v>9000</v>
      </c>
      <c r="K248" s="45">
        <v>0</v>
      </c>
      <c r="L248" s="45"/>
      <c r="M248" s="45"/>
      <c r="N248" s="45"/>
      <c r="O248" s="45">
        <v>0</v>
      </c>
      <c r="P248" s="118">
        <v>9000</v>
      </c>
      <c r="Q248" s="115">
        <v>0</v>
      </c>
      <c r="R248" s="32">
        <f t="shared" si="138"/>
        <v>0</v>
      </c>
      <c r="S248" s="32">
        <f t="shared" si="139"/>
        <v>9000</v>
      </c>
      <c r="T248" s="32">
        <f t="shared" si="140"/>
        <v>9000</v>
      </c>
      <c r="U248" s="32">
        <f t="shared" si="141"/>
        <v>9000</v>
      </c>
      <c r="V248" s="32">
        <v>65000</v>
      </c>
      <c r="W248" s="115"/>
      <c r="X248" s="60"/>
      <c r="Y248" s="60"/>
      <c r="Z248" s="32">
        <f t="shared" si="142"/>
        <v>9000</v>
      </c>
      <c r="AA248" s="34" t="s">
        <v>318</v>
      </c>
      <c r="AB248" s="116" t="s">
        <v>567</v>
      </c>
    </row>
    <row r="249" spans="1:28" ht="15" customHeight="1" x14ac:dyDescent="0.35">
      <c r="A249" s="264"/>
      <c r="B249" s="265"/>
      <c r="C249" s="265"/>
      <c r="D249" s="70" t="s">
        <v>17</v>
      </c>
      <c r="E249" s="50" t="s">
        <v>316</v>
      </c>
      <c r="F249" s="71" t="s">
        <v>36</v>
      </c>
      <c r="G249" s="27" t="s">
        <v>37</v>
      </c>
      <c r="H249" s="27">
        <v>1</v>
      </c>
      <c r="I249" s="45">
        <v>3750</v>
      </c>
      <c r="J249" s="45">
        <v>3750</v>
      </c>
      <c r="K249" s="45">
        <v>0</v>
      </c>
      <c r="L249" s="45"/>
      <c r="M249" s="45"/>
      <c r="N249" s="45"/>
      <c r="O249" s="45">
        <v>0</v>
      </c>
      <c r="P249" s="118">
        <v>3750</v>
      </c>
      <c r="Q249" s="142">
        <v>0</v>
      </c>
      <c r="R249" s="32">
        <f t="shared" si="138"/>
        <v>0</v>
      </c>
      <c r="S249" s="32">
        <f t="shared" si="139"/>
        <v>3750</v>
      </c>
      <c r="T249" s="32">
        <f t="shared" si="140"/>
        <v>3750</v>
      </c>
      <c r="U249" s="32">
        <f t="shared" si="141"/>
        <v>3750</v>
      </c>
      <c r="V249" s="32">
        <v>10000</v>
      </c>
      <c r="W249" s="115"/>
      <c r="X249" s="60"/>
      <c r="Y249" s="60"/>
      <c r="Z249" s="32">
        <f t="shared" si="142"/>
        <v>3750</v>
      </c>
      <c r="AA249" s="34" t="s">
        <v>319</v>
      </c>
      <c r="AB249" s="116" t="s">
        <v>568</v>
      </c>
    </row>
    <row r="250" spans="1:28" ht="15" customHeight="1" x14ac:dyDescent="0.35">
      <c r="A250" s="264"/>
      <c r="B250" s="265"/>
      <c r="C250" s="265"/>
      <c r="D250" s="70" t="s">
        <v>17</v>
      </c>
      <c r="E250" s="50" t="s">
        <v>316</v>
      </c>
      <c r="F250" s="71" t="s">
        <v>64</v>
      </c>
      <c r="G250" s="27" t="s">
        <v>62</v>
      </c>
      <c r="H250" s="27">
        <v>1</v>
      </c>
      <c r="I250" s="45">
        <v>3000</v>
      </c>
      <c r="J250" s="45">
        <v>3000</v>
      </c>
      <c r="K250" s="45">
        <v>0</v>
      </c>
      <c r="L250" s="45"/>
      <c r="M250" s="45"/>
      <c r="N250" s="45"/>
      <c r="O250" s="45">
        <v>0</v>
      </c>
      <c r="P250" s="118">
        <v>3000</v>
      </c>
      <c r="Q250" s="115">
        <v>57668.86</v>
      </c>
      <c r="R250" s="32">
        <f t="shared" si="138"/>
        <v>57668.86</v>
      </c>
      <c r="S250" s="32">
        <f t="shared" si="139"/>
        <v>-54668.86</v>
      </c>
      <c r="T250" s="32">
        <f t="shared" si="140"/>
        <v>-54668.86</v>
      </c>
      <c r="U250" s="32">
        <f t="shared" si="141"/>
        <v>-54668.86</v>
      </c>
      <c r="V250" s="32"/>
      <c r="W250" s="115"/>
      <c r="X250" s="60"/>
      <c r="Y250" s="60"/>
      <c r="Z250" s="32">
        <f t="shared" si="142"/>
        <v>-54668.86</v>
      </c>
      <c r="AA250" s="34" t="s">
        <v>320</v>
      </c>
      <c r="AB250" s="116" t="s">
        <v>569</v>
      </c>
    </row>
    <row r="251" spans="1:28" ht="15" customHeight="1" x14ac:dyDescent="0.35">
      <c r="A251" s="264"/>
      <c r="B251" s="265"/>
      <c r="C251" s="265"/>
      <c r="D251" s="70" t="s">
        <v>17</v>
      </c>
      <c r="E251" s="50" t="s">
        <v>316</v>
      </c>
      <c r="F251" s="71" t="s">
        <v>71</v>
      </c>
      <c r="G251" s="27" t="s">
        <v>62</v>
      </c>
      <c r="H251" s="27">
        <v>1</v>
      </c>
      <c r="I251" s="45">
        <v>5000</v>
      </c>
      <c r="J251" s="45">
        <v>5000</v>
      </c>
      <c r="K251" s="45">
        <v>0</v>
      </c>
      <c r="L251" s="45"/>
      <c r="M251" s="45"/>
      <c r="N251" s="45"/>
      <c r="O251" s="45">
        <v>0</v>
      </c>
      <c r="P251" s="118">
        <v>5000</v>
      </c>
      <c r="Q251" s="115">
        <v>0</v>
      </c>
      <c r="R251" s="32">
        <f t="shared" si="138"/>
        <v>0</v>
      </c>
      <c r="S251" s="32">
        <f t="shared" si="139"/>
        <v>5000</v>
      </c>
      <c r="T251" s="32">
        <f t="shared" si="140"/>
        <v>5000</v>
      </c>
      <c r="U251" s="32">
        <f t="shared" si="141"/>
        <v>5000</v>
      </c>
      <c r="V251" s="32">
        <v>5000</v>
      </c>
      <c r="W251" s="115"/>
      <c r="X251" s="60"/>
      <c r="Y251" s="60"/>
      <c r="Z251" s="32">
        <f t="shared" si="142"/>
        <v>5000</v>
      </c>
      <c r="AA251" s="34" t="s">
        <v>321</v>
      </c>
      <c r="AB251" s="116" t="s">
        <v>2</v>
      </c>
    </row>
    <row r="252" spans="1:28" ht="26" customHeight="1" x14ac:dyDescent="0.35">
      <c r="A252" s="264"/>
      <c r="B252" s="265"/>
      <c r="C252" s="265"/>
      <c r="D252" s="70" t="s">
        <v>17</v>
      </c>
      <c r="E252" s="50" t="s">
        <v>316</v>
      </c>
      <c r="F252" s="71" t="s">
        <v>69</v>
      </c>
      <c r="G252" s="27" t="s">
        <v>37</v>
      </c>
      <c r="H252" s="27">
        <v>11</v>
      </c>
      <c r="I252" s="45">
        <v>1100</v>
      </c>
      <c r="J252" s="45">
        <v>16500</v>
      </c>
      <c r="K252" s="45">
        <v>0</v>
      </c>
      <c r="L252" s="45"/>
      <c r="M252" s="45"/>
      <c r="N252" s="45"/>
      <c r="O252" s="45">
        <v>0</v>
      </c>
      <c r="P252" s="118">
        <v>16500</v>
      </c>
      <c r="Q252" s="115">
        <v>1616.38</v>
      </c>
      <c r="R252" s="32">
        <f t="shared" si="138"/>
        <v>1616.38</v>
      </c>
      <c r="S252" s="32">
        <f t="shared" si="139"/>
        <v>14883.619999999999</v>
      </c>
      <c r="T252" s="32">
        <f t="shared" si="140"/>
        <v>14883.619999999999</v>
      </c>
      <c r="U252" s="32">
        <f t="shared" si="141"/>
        <v>14883.619999999999</v>
      </c>
      <c r="V252" s="32">
        <v>12000</v>
      </c>
      <c r="W252" s="115"/>
      <c r="X252" s="60">
        <v>5000</v>
      </c>
      <c r="Y252" s="60">
        <v>5000</v>
      </c>
      <c r="Z252" s="32">
        <f t="shared" si="142"/>
        <v>4883.619999999999</v>
      </c>
      <c r="AA252" s="34" t="s">
        <v>322</v>
      </c>
      <c r="AB252" s="230" t="s">
        <v>1127</v>
      </c>
    </row>
    <row r="253" spans="1:28" ht="15" customHeight="1" x14ac:dyDescent="0.35">
      <c r="A253" s="264"/>
      <c r="B253" s="265"/>
      <c r="C253" s="265"/>
      <c r="D253" s="70" t="s">
        <v>17</v>
      </c>
      <c r="E253" s="50" t="s">
        <v>316</v>
      </c>
      <c r="F253" s="71" t="s">
        <v>69</v>
      </c>
      <c r="G253" s="27" t="s">
        <v>37</v>
      </c>
      <c r="H253" s="27">
        <v>10</v>
      </c>
      <c r="I253" s="45">
        <v>350</v>
      </c>
      <c r="J253" s="45">
        <v>3500</v>
      </c>
      <c r="K253" s="45">
        <v>0</v>
      </c>
      <c r="L253" s="45"/>
      <c r="M253" s="45"/>
      <c r="N253" s="45"/>
      <c r="O253" s="45">
        <v>0</v>
      </c>
      <c r="P253" s="118">
        <v>3500</v>
      </c>
      <c r="Q253" s="115">
        <v>0</v>
      </c>
      <c r="R253" s="32">
        <f t="shared" si="138"/>
        <v>0</v>
      </c>
      <c r="S253" s="32">
        <f t="shared" si="139"/>
        <v>3500</v>
      </c>
      <c r="T253" s="32">
        <f t="shared" si="140"/>
        <v>3500</v>
      </c>
      <c r="U253" s="32">
        <f t="shared" si="141"/>
        <v>3500</v>
      </c>
      <c r="V253" s="32">
        <v>7500</v>
      </c>
      <c r="W253" s="115"/>
      <c r="X253" s="60">
        <v>5000</v>
      </c>
      <c r="Y253" s="60">
        <v>5000</v>
      </c>
      <c r="Z253" s="32">
        <f t="shared" si="142"/>
        <v>-6500</v>
      </c>
      <c r="AA253" s="34" t="s">
        <v>323</v>
      </c>
      <c r="AB253" s="230" t="s">
        <v>1126</v>
      </c>
    </row>
    <row r="254" spans="1:28" ht="15" customHeight="1" x14ac:dyDescent="0.35">
      <c r="A254" s="264"/>
      <c r="B254" s="265"/>
      <c r="C254" s="265"/>
      <c r="D254" s="70" t="s">
        <v>17</v>
      </c>
      <c r="E254" s="50" t="s">
        <v>316</v>
      </c>
      <c r="F254" s="71" t="s">
        <v>39</v>
      </c>
      <c r="G254" s="27" t="s">
        <v>40</v>
      </c>
      <c r="H254" s="27">
        <v>1</v>
      </c>
      <c r="I254" s="45">
        <v>14250</v>
      </c>
      <c r="J254" s="45">
        <v>14250</v>
      </c>
      <c r="K254" s="45">
        <v>0</v>
      </c>
      <c r="L254" s="45"/>
      <c r="M254" s="45"/>
      <c r="N254" s="45"/>
      <c r="O254" s="45">
        <v>0</v>
      </c>
      <c r="P254" s="118">
        <v>14250</v>
      </c>
      <c r="Q254" s="115">
        <v>0</v>
      </c>
      <c r="R254" s="32">
        <f t="shared" si="138"/>
        <v>0</v>
      </c>
      <c r="S254" s="32">
        <f t="shared" si="139"/>
        <v>14250</v>
      </c>
      <c r="T254" s="32">
        <f t="shared" si="140"/>
        <v>14250</v>
      </c>
      <c r="U254" s="32">
        <f t="shared" si="141"/>
        <v>14250</v>
      </c>
      <c r="V254" s="32">
        <v>14250</v>
      </c>
      <c r="W254" s="115"/>
      <c r="X254" s="60"/>
      <c r="Y254" s="60"/>
      <c r="Z254" s="32">
        <f t="shared" si="142"/>
        <v>14250</v>
      </c>
      <c r="AA254" s="34" t="s">
        <v>324</v>
      </c>
      <c r="AB254" s="143" t="s">
        <v>571</v>
      </c>
    </row>
    <row r="255" spans="1:28" ht="15" customHeight="1" x14ac:dyDescent="0.35">
      <c r="A255" s="264"/>
      <c r="B255" s="265"/>
      <c r="C255" s="265"/>
      <c r="D255" s="70" t="s">
        <v>17</v>
      </c>
      <c r="E255" s="50" t="s">
        <v>316</v>
      </c>
      <c r="F255" s="71" t="s">
        <v>39</v>
      </c>
      <c r="G255" s="27" t="s">
        <v>40</v>
      </c>
      <c r="H255" s="27">
        <v>1</v>
      </c>
      <c r="I255" s="45">
        <v>9900</v>
      </c>
      <c r="J255" s="45">
        <v>9900</v>
      </c>
      <c r="K255" s="45">
        <v>0</v>
      </c>
      <c r="L255" s="45"/>
      <c r="M255" s="45"/>
      <c r="N255" s="45"/>
      <c r="O255" s="45">
        <v>0</v>
      </c>
      <c r="P255" s="118">
        <v>9900</v>
      </c>
      <c r="Q255" s="115">
        <v>0</v>
      </c>
      <c r="R255" s="32">
        <f t="shared" si="138"/>
        <v>0</v>
      </c>
      <c r="S255" s="32">
        <f t="shared" si="139"/>
        <v>9900</v>
      </c>
      <c r="T255" s="32">
        <f t="shared" si="140"/>
        <v>9900</v>
      </c>
      <c r="U255" s="32">
        <f t="shared" si="141"/>
        <v>9900</v>
      </c>
      <c r="V255" s="32">
        <v>2000</v>
      </c>
      <c r="W255" s="115"/>
      <c r="X255" s="60"/>
      <c r="Y255" s="60"/>
      <c r="Z255" s="32">
        <f t="shared" si="142"/>
        <v>9900</v>
      </c>
      <c r="AA255" s="34" t="s">
        <v>325</v>
      </c>
      <c r="AB255" s="116" t="s">
        <v>572</v>
      </c>
    </row>
    <row r="256" spans="1:28" ht="15" customHeight="1" x14ac:dyDescent="0.35">
      <c r="A256" s="264"/>
      <c r="B256" s="265"/>
      <c r="C256" s="265"/>
      <c r="D256" s="70" t="s">
        <v>17</v>
      </c>
      <c r="E256" s="50" t="s">
        <v>316</v>
      </c>
      <c r="F256" s="71" t="s">
        <v>39</v>
      </c>
      <c r="G256" s="27" t="s">
        <v>40</v>
      </c>
      <c r="H256" s="27">
        <v>1</v>
      </c>
      <c r="I256" s="45">
        <v>14250</v>
      </c>
      <c r="J256" s="45">
        <v>14250</v>
      </c>
      <c r="K256" s="45">
        <v>0</v>
      </c>
      <c r="L256" s="45"/>
      <c r="M256" s="45"/>
      <c r="N256" s="45"/>
      <c r="O256" s="45">
        <v>0</v>
      </c>
      <c r="P256" s="118">
        <v>14250</v>
      </c>
      <c r="Q256" s="115">
        <v>0</v>
      </c>
      <c r="R256" s="32">
        <f t="shared" si="138"/>
        <v>0</v>
      </c>
      <c r="S256" s="32">
        <f t="shared" si="139"/>
        <v>14250</v>
      </c>
      <c r="T256" s="32">
        <f t="shared" si="140"/>
        <v>14250</v>
      </c>
      <c r="U256" s="32">
        <f t="shared" si="141"/>
        <v>14250</v>
      </c>
      <c r="V256" s="32">
        <v>14250</v>
      </c>
      <c r="W256" s="115"/>
      <c r="X256" s="60"/>
      <c r="Y256" s="60"/>
      <c r="Z256" s="32">
        <f t="shared" si="142"/>
        <v>14250</v>
      </c>
      <c r="AA256" s="34" t="s">
        <v>326</v>
      </c>
      <c r="AB256" s="116" t="s">
        <v>573</v>
      </c>
    </row>
    <row r="257" spans="1:28" ht="15" customHeight="1" x14ac:dyDescent="0.35">
      <c r="A257" s="264"/>
      <c r="B257" s="265"/>
      <c r="C257" s="265"/>
      <c r="D257" s="70" t="s">
        <v>17</v>
      </c>
      <c r="E257" s="50" t="s">
        <v>316</v>
      </c>
      <c r="F257" s="71" t="s">
        <v>123</v>
      </c>
      <c r="G257" s="27" t="s">
        <v>62</v>
      </c>
      <c r="H257" s="27">
        <v>3</v>
      </c>
      <c r="I257" s="45">
        <v>1000</v>
      </c>
      <c r="J257" s="45">
        <v>3000</v>
      </c>
      <c r="K257" s="45">
        <v>0</v>
      </c>
      <c r="L257" s="45"/>
      <c r="M257" s="45"/>
      <c r="N257" s="45"/>
      <c r="O257" s="45">
        <v>0</v>
      </c>
      <c r="P257" s="118">
        <v>3000</v>
      </c>
      <c r="Q257" s="115">
        <v>0</v>
      </c>
      <c r="R257" s="32">
        <f t="shared" si="138"/>
        <v>0</v>
      </c>
      <c r="S257" s="32">
        <f t="shared" si="139"/>
        <v>3000</v>
      </c>
      <c r="T257" s="32">
        <f t="shared" si="140"/>
        <v>3000</v>
      </c>
      <c r="U257" s="32">
        <f t="shared" si="141"/>
        <v>3000</v>
      </c>
      <c r="V257" s="32">
        <v>3000</v>
      </c>
      <c r="W257" s="115"/>
      <c r="X257" s="60"/>
      <c r="Y257" s="60"/>
      <c r="Z257" s="32">
        <f t="shared" si="142"/>
        <v>3000</v>
      </c>
      <c r="AA257" s="34" t="s">
        <v>327</v>
      </c>
      <c r="AB257" s="116" t="s">
        <v>574</v>
      </c>
    </row>
    <row r="258" spans="1:28" ht="15" customHeight="1" x14ac:dyDescent="0.35">
      <c r="A258" s="264"/>
      <c r="B258" s="265"/>
      <c r="C258" s="265"/>
      <c r="D258" s="70" t="s">
        <v>17</v>
      </c>
      <c r="E258" s="50" t="s">
        <v>316</v>
      </c>
      <c r="F258" s="71" t="s">
        <v>73</v>
      </c>
      <c r="G258" s="27" t="s">
        <v>62</v>
      </c>
      <c r="H258" s="27">
        <v>4</v>
      </c>
      <c r="I258" s="45">
        <v>250</v>
      </c>
      <c r="J258" s="45">
        <v>1000</v>
      </c>
      <c r="K258" s="45">
        <v>0</v>
      </c>
      <c r="L258" s="45"/>
      <c r="M258" s="45"/>
      <c r="N258" s="45"/>
      <c r="O258" s="45">
        <v>0</v>
      </c>
      <c r="P258" s="118">
        <v>1000</v>
      </c>
      <c r="Q258" s="115">
        <v>840.19</v>
      </c>
      <c r="R258" s="32">
        <f t="shared" si="138"/>
        <v>840.19</v>
      </c>
      <c r="S258" s="32">
        <f t="shared" si="139"/>
        <v>159.80999999999995</v>
      </c>
      <c r="T258" s="32">
        <f t="shared" si="140"/>
        <v>159.80999999999995</v>
      </c>
      <c r="U258" s="32">
        <f t="shared" si="141"/>
        <v>159.80999999999995</v>
      </c>
      <c r="V258" s="32">
        <v>1500</v>
      </c>
      <c r="W258" s="115"/>
      <c r="X258" s="60"/>
      <c r="Y258" s="60"/>
      <c r="Z258" s="32">
        <f t="shared" si="142"/>
        <v>159.80999999999995</v>
      </c>
      <c r="AA258" s="34" t="s">
        <v>328</v>
      </c>
      <c r="AB258" s="116" t="s">
        <v>2</v>
      </c>
    </row>
    <row r="259" spans="1:28" ht="15" customHeight="1" x14ac:dyDescent="0.35">
      <c r="A259" s="264"/>
      <c r="B259" s="265"/>
      <c r="C259" s="265"/>
      <c r="D259" s="70" t="s">
        <v>17</v>
      </c>
      <c r="E259" s="50" t="s">
        <v>316</v>
      </c>
      <c r="F259" s="71" t="s">
        <v>329</v>
      </c>
      <c r="G259" s="27" t="s">
        <v>62</v>
      </c>
      <c r="H259" s="27">
        <v>4</v>
      </c>
      <c r="I259" s="45">
        <v>1000</v>
      </c>
      <c r="J259" s="45">
        <v>4000</v>
      </c>
      <c r="K259" s="45">
        <v>0</v>
      </c>
      <c r="L259" s="45"/>
      <c r="M259" s="45"/>
      <c r="N259" s="45"/>
      <c r="O259" s="45">
        <v>0</v>
      </c>
      <c r="P259" s="118">
        <v>4000</v>
      </c>
      <c r="Q259" s="115">
        <v>678.85</v>
      </c>
      <c r="R259" s="32">
        <f t="shared" si="138"/>
        <v>678.85</v>
      </c>
      <c r="S259" s="32">
        <f t="shared" si="139"/>
        <v>3321.15</v>
      </c>
      <c r="T259" s="32">
        <f t="shared" si="140"/>
        <v>3321.15</v>
      </c>
      <c r="U259" s="32">
        <f t="shared" si="141"/>
        <v>3321.15</v>
      </c>
      <c r="V259" s="32"/>
      <c r="W259" s="115"/>
      <c r="X259" s="60">
        <v>13538.4</v>
      </c>
      <c r="Y259" s="60"/>
      <c r="Z259" s="32">
        <f t="shared" si="142"/>
        <v>-10217.25</v>
      </c>
      <c r="AA259" s="34" t="s">
        <v>330</v>
      </c>
      <c r="AB259" s="120" t="s">
        <v>575</v>
      </c>
    </row>
    <row r="260" spans="1:28" ht="15" customHeight="1" x14ac:dyDescent="0.35">
      <c r="A260" s="264"/>
      <c r="B260" s="265"/>
      <c r="C260" s="70"/>
      <c r="D260" s="70"/>
      <c r="E260" s="50"/>
      <c r="F260" s="71"/>
      <c r="G260" s="27"/>
      <c r="H260" s="27"/>
      <c r="I260" s="45"/>
      <c r="J260" s="45"/>
      <c r="K260" s="45"/>
      <c r="L260" s="45"/>
      <c r="M260" s="45"/>
      <c r="N260" s="45"/>
      <c r="O260" s="45"/>
      <c r="P260" s="118"/>
      <c r="Q260" s="115"/>
      <c r="R260" s="32">
        <f t="shared" si="138"/>
        <v>0</v>
      </c>
      <c r="S260" s="32"/>
      <c r="T260" s="32"/>
      <c r="U260" s="32">
        <f t="shared" si="141"/>
        <v>0</v>
      </c>
      <c r="V260" s="32"/>
      <c r="W260" s="115"/>
      <c r="X260" s="60"/>
      <c r="Y260" s="60"/>
      <c r="Z260" s="32">
        <f t="shared" si="142"/>
        <v>0</v>
      </c>
      <c r="AA260" s="34"/>
      <c r="AB260" s="120"/>
    </row>
    <row r="261" spans="1:28" ht="15" customHeight="1" x14ac:dyDescent="0.35">
      <c r="A261" s="264"/>
      <c r="B261" s="265"/>
      <c r="C261" s="73"/>
      <c r="D261" s="73"/>
      <c r="E261" s="53"/>
      <c r="F261" s="74"/>
      <c r="G261" s="41"/>
      <c r="H261" s="41"/>
      <c r="I261" s="54"/>
      <c r="J261" s="54">
        <f>SUM(J247:J259)</f>
        <v>218616</v>
      </c>
      <c r="K261" s="54">
        <f t="shared" ref="K261:L261" si="143">SUM(K247:K259)</f>
        <v>0</v>
      </c>
      <c r="L261" s="54">
        <f t="shared" si="143"/>
        <v>0</v>
      </c>
      <c r="M261" s="54">
        <v>23606.95</v>
      </c>
      <c r="N261" s="54">
        <v>25339.52</v>
      </c>
      <c r="O261" s="54">
        <v>9064.9599999999991</v>
      </c>
      <c r="P261" s="54">
        <f>SUM(P247:P260)</f>
        <v>160604.57</v>
      </c>
      <c r="Q261" s="54">
        <f t="shared" ref="Q261:Z261" si="144">SUM(Q247:Q260)</f>
        <v>86717.060000000012</v>
      </c>
      <c r="R261" s="54">
        <f t="shared" si="144"/>
        <v>144728.49000000002</v>
      </c>
      <c r="S261" s="54">
        <f t="shared" si="144"/>
        <v>15876.080000000013</v>
      </c>
      <c r="T261" s="54">
        <f t="shared" si="144"/>
        <v>15876.080000000013</v>
      </c>
      <c r="U261" s="54">
        <f t="shared" si="144"/>
        <v>73887.509999999995</v>
      </c>
      <c r="V261" s="54">
        <f t="shared" si="144"/>
        <v>162500</v>
      </c>
      <c r="W261" s="54">
        <f t="shared" si="144"/>
        <v>0</v>
      </c>
      <c r="X261" s="54">
        <f t="shared" si="144"/>
        <v>52238.400000000001</v>
      </c>
      <c r="Y261" s="54">
        <f t="shared" si="144"/>
        <v>38700</v>
      </c>
      <c r="Z261" s="54">
        <f t="shared" si="144"/>
        <v>-17050.89</v>
      </c>
      <c r="AA261" s="49"/>
      <c r="AB261" s="141"/>
    </row>
    <row r="262" spans="1:28" ht="15" customHeight="1" x14ac:dyDescent="0.35">
      <c r="A262" s="264"/>
      <c r="B262" s="265"/>
      <c r="C262" s="265" t="s">
        <v>331</v>
      </c>
      <c r="D262" s="70" t="s">
        <v>17</v>
      </c>
      <c r="E262" s="50" t="s">
        <v>332</v>
      </c>
      <c r="F262" s="71" t="s">
        <v>28</v>
      </c>
      <c r="G262" s="27" t="s">
        <v>29</v>
      </c>
      <c r="H262" s="27">
        <v>78</v>
      </c>
      <c r="I262" s="45">
        <v>1359</v>
      </c>
      <c r="J262" s="45">
        <v>131466</v>
      </c>
      <c r="K262" s="45">
        <v>0</v>
      </c>
      <c r="L262" s="45">
        <v>0</v>
      </c>
      <c r="M262" s="45">
        <v>22337.200000000001</v>
      </c>
      <c r="N262" s="45">
        <v>25339.56</v>
      </c>
      <c r="O262" s="45">
        <v>25339.55</v>
      </c>
      <c r="P262" s="118">
        <v>58449.69</v>
      </c>
      <c r="Q262" s="76">
        <v>25354.01</v>
      </c>
      <c r="R262" s="32">
        <f t="shared" ref="R262:R274" si="145">L262+M262+N262+O262+Q262</f>
        <v>98370.319999999992</v>
      </c>
      <c r="S262" s="76">
        <f t="shared" ref="S262:S274" si="146">P262-R262</f>
        <v>-39920.62999999999</v>
      </c>
      <c r="T262" s="32">
        <f>P262-R262</f>
        <v>-39920.62999999999</v>
      </c>
      <c r="U262" s="32">
        <f t="shared" ref="U262:U274" si="147">P262-Q262</f>
        <v>33095.680000000008</v>
      </c>
      <c r="V262" s="32"/>
      <c r="W262" s="76">
        <v>28000</v>
      </c>
      <c r="X262" s="60"/>
      <c r="Y262" s="60"/>
      <c r="Z262" s="32">
        <f t="shared" ref="Z262:Z274" si="148">U262-(W262+X262+Y262)</f>
        <v>5095.6800000000076</v>
      </c>
      <c r="AA262" s="34" t="s">
        <v>333</v>
      </c>
      <c r="AB262" s="127" t="s">
        <v>562</v>
      </c>
    </row>
    <row r="263" spans="1:28" ht="15" customHeight="1" x14ac:dyDescent="0.35">
      <c r="A263" s="264"/>
      <c r="B263" s="265"/>
      <c r="C263" s="265"/>
      <c r="D263" s="70" t="s">
        <v>17</v>
      </c>
      <c r="E263" s="50" t="s">
        <v>332</v>
      </c>
      <c r="F263" s="71" t="s">
        <v>120</v>
      </c>
      <c r="G263" s="27" t="s">
        <v>58</v>
      </c>
      <c r="H263" s="27">
        <v>100</v>
      </c>
      <c r="I263" s="45">
        <v>250</v>
      </c>
      <c r="J263" s="45">
        <v>25000</v>
      </c>
      <c r="K263" s="45">
        <v>0</v>
      </c>
      <c r="L263" s="45"/>
      <c r="M263" s="45"/>
      <c r="N263" s="45"/>
      <c r="O263" s="45">
        <v>160.82</v>
      </c>
      <c r="P263" s="118">
        <v>24839.18</v>
      </c>
      <c r="Q263" s="76">
        <v>6307.7699999999995</v>
      </c>
      <c r="R263" s="32">
        <f t="shared" si="145"/>
        <v>6468.5899999999992</v>
      </c>
      <c r="S263" s="76">
        <f t="shared" si="146"/>
        <v>18370.59</v>
      </c>
      <c r="T263" s="32">
        <f>P263-R263</f>
        <v>18370.59</v>
      </c>
      <c r="U263" s="32">
        <f t="shared" si="147"/>
        <v>18531.41</v>
      </c>
      <c r="V263" s="32"/>
      <c r="W263" s="76"/>
      <c r="X263" s="60"/>
      <c r="Y263" s="60"/>
      <c r="Z263" s="32">
        <f t="shared" si="148"/>
        <v>18531.41</v>
      </c>
      <c r="AA263" s="34" t="s">
        <v>334</v>
      </c>
      <c r="AB263" s="127" t="s">
        <v>576</v>
      </c>
    </row>
    <row r="264" spans="1:28" ht="15" customHeight="1" x14ac:dyDescent="0.35">
      <c r="A264" s="264"/>
      <c r="B264" s="265"/>
      <c r="C264" s="265"/>
      <c r="D264" s="144" t="s">
        <v>17</v>
      </c>
      <c r="E264" s="130" t="s">
        <v>332</v>
      </c>
      <c r="F264" s="145" t="s">
        <v>118</v>
      </c>
      <c r="G264" s="132"/>
      <c r="H264" s="132"/>
      <c r="I264" s="138"/>
      <c r="J264" s="138"/>
      <c r="K264" s="138"/>
      <c r="L264" s="138"/>
      <c r="M264" s="138"/>
      <c r="N264" s="138"/>
      <c r="O264" s="138"/>
      <c r="P264" s="138">
        <v>0</v>
      </c>
      <c r="Q264" s="134"/>
      <c r="R264" s="32">
        <f t="shared" si="145"/>
        <v>0</v>
      </c>
      <c r="S264" s="134">
        <f t="shared" si="146"/>
        <v>0</v>
      </c>
      <c r="T264" s="146">
        <f>P264-R264</f>
        <v>0</v>
      </c>
      <c r="U264" s="32">
        <f t="shared" si="147"/>
        <v>0</v>
      </c>
      <c r="V264" s="32"/>
      <c r="W264" s="134">
        <v>30000</v>
      </c>
      <c r="X264" s="60"/>
      <c r="Y264" s="60"/>
      <c r="Z264" s="32">
        <f t="shared" si="148"/>
        <v>-30000</v>
      </c>
      <c r="AA264" s="136" t="s">
        <v>335</v>
      </c>
      <c r="AB264" s="137" t="s">
        <v>577</v>
      </c>
    </row>
    <row r="265" spans="1:28" ht="15" customHeight="1" x14ac:dyDescent="0.35">
      <c r="A265" s="264"/>
      <c r="B265" s="265"/>
      <c r="C265" s="265"/>
      <c r="D265" s="70" t="s">
        <v>17</v>
      </c>
      <c r="E265" s="50" t="s">
        <v>332</v>
      </c>
      <c r="F265" s="71" t="s">
        <v>132</v>
      </c>
      <c r="G265" s="27" t="s">
        <v>86</v>
      </c>
      <c r="H265" s="27">
        <v>4</v>
      </c>
      <c r="I265" s="45">
        <v>1000</v>
      </c>
      <c r="J265" s="45">
        <v>4000</v>
      </c>
      <c r="K265" s="45">
        <v>0</v>
      </c>
      <c r="L265" s="45"/>
      <c r="M265" s="45"/>
      <c r="N265" s="45"/>
      <c r="O265" s="45">
        <v>440.44</v>
      </c>
      <c r="P265" s="118">
        <v>3559.56</v>
      </c>
      <c r="Q265" s="76">
        <v>116.29</v>
      </c>
      <c r="R265" s="32">
        <f t="shared" si="145"/>
        <v>556.73</v>
      </c>
      <c r="S265" s="76">
        <f t="shared" si="146"/>
        <v>3002.83</v>
      </c>
      <c r="T265" s="32">
        <f>P265-R265</f>
        <v>3002.83</v>
      </c>
      <c r="U265" s="32">
        <f t="shared" si="147"/>
        <v>3443.27</v>
      </c>
      <c r="V265" s="32"/>
      <c r="W265" s="76"/>
      <c r="X265" s="60"/>
      <c r="Y265" s="60"/>
      <c r="Z265" s="32">
        <f t="shared" si="148"/>
        <v>3443.27</v>
      </c>
      <c r="AA265" s="34" t="s">
        <v>336</v>
      </c>
      <c r="AB265" s="127"/>
    </row>
    <row r="266" spans="1:28" ht="15" customHeight="1" x14ac:dyDescent="0.35">
      <c r="A266" s="264"/>
      <c r="B266" s="265"/>
      <c r="C266" s="265"/>
      <c r="D266" s="70" t="s">
        <v>17</v>
      </c>
      <c r="E266" s="50" t="s">
        <v>332</v>
      </c>
      <c r="F266" s="71" t="s">
        <v>64</v>
      </c>
      <c r="G266" s="27" t="s">
        <v>86</v>
      </c>
      <c r="H266" s="27">
        <v>10</v>
      </c>
      <c r="I266" s="45">
        <v>1400</v>
      </c>
      <c r="J266" s="45">
        <v>14000</v>
      </c>
      <c r="K266" s="45">
        <v>0</v>
      </c>
      <c r="L266" s="45"/>
      <c r="M266" s="45"/>
      <c r="N266" s="45">
        <v>428.06</v>
      </c>
      <c r="O266" s="45">
        <v>14955.37</v>
      </c>
      <c r="P266" s="118">
        <v>-1383.4300000000003</v>
      </c>
      <c r="Q266" s="76">
        <v>-2358.5</v>
      </c>
      <c r="R266" s="32">
        <f t="shared" si="145"/>
        <v>13024.93</v>
      </c>
      <c r="S266" s="76">
        <f t="shared" si="146"/>
        <v>-14408.36</v>
      </c>
      <c r="T266" s="32">
        <f>P266+R266</f>
        <v>11641.5</v>
      </c>
      <c r="U266" s="32">
        <f t="shared" si="147"/>
        <v>975.06999999999971</v>
      </c>
      <c r="V266" s="32"/>
      <c r="W266" s="76"/>
      <c r="X266" s="60"/>
      <c r="Y266" s="60"/>
      <c r="Z266" s="32">
        <f t="shared" si="148"/>
        <v>975.06999999999971</v>
      </c>
      <c r="AA266" s="34" t="s">
        <v>337</v>
      </c>
      <c r="AB266" s="127" t="s">
        <v>578</v>
      </c>
    </row>
    <row r="267" spans="1:28" ht="15" customHeight="1" x14ac:dyDescent="0.35">
      <c r="A267" s="264"/>
      <c r="B267" s="265"/>
      <c r="C267" s="265"/>
      <c r="D267" s="70" t="s">
        <v>17</v>
      </c>
      <c r="E267" s="50" t="s">
        <v>332</v>
      </c>
      <c r="F267" s="71" t="s">
        <v>64</v>
      </c>
      <c r="G267" s="27" t="s">
        <v>86</v>
      </c>
      <c r="H267" s="27">
        <v>6</v>
      </c>
      <c r="I267" s="45">
        <v>2000</v>
      </c>
      <c r="J267" s="45">
        <v>12000</v>
      </c>
      <c r="K267" s="45">
        <v>0</v>
      </c>
      <c r="L267" s="45"/>
      <c r="M267" s="45"/>
      <c r="N267" s="45"/>
      <c r="O267" s="45">
        <v>6120.55</v>
      </c>
      <c r="P267" s="118">
        <v>5879.45</v>
      </c>
      <c r="Q267" s="76">
        <v>8309.630000000001</v>
      </c>
      <c r="R267" s="32">
        <f t="shared" si="145"/>
        <v>14430.18</v>
      </c>
      <c r="S267" s="76">
        <f t="shared" si="146"/>
        <v>-8550.73</v>
      </c>
      <c r="T267" s="32">
        <f t="shared" ref="T267:T274" si="149">P267-R267</f>
        <v>-8550.73</v>
      </c>
      <c r="U267" s="32">
        <f t="shared" si="147"/>
        <v>-2430.1800000000012</v>
      </c>
      <c r="V267" s="32"/>
      <c r="W267" s="76"/>
      <c r="X267" s="60"/>
      <c r="Y267" s="60"/>
      <c r="Z267" s="32">
        <f t="shared" si="148"/>
        <v>-2430.1800000000012</v>
      </c>
      <c r="AA267" s="34" t="s">
        <v>338</v>
      </c>
      <c r="AB267" s="127" t="s">
        <v>579</v>
      </c>
    </row>
    <row r="268" spans="1:28" ht="15" customHeight="1" x14ac:dyDescent="0.35">
      <c r="A268" s="264"/>
      <c r="B268" s="265"/>
      <c r="C268" s="265"/>
      <c r="D268" s="70" t="s">
        <v>17</v>
      </c>
      <c r="E268" s="50" t="s">
        <v>332</v>
      </c>
      <c r="F268" s="71" t="s">
        <v>148</v>
      </c>
      <c r="G268" s="27" t="s">
        <v>86</v>
      </c>
      <c r="H268" s="27">
        <v>4</v>
      </c>
      <c r="I268" s="45">
        <v>1000</v>
      </c>
      <c r="J268" s="45">
        <v>4150</v>
      </c>
      <c r="K268" s="45">
        <v>0</v>
      </c>
      <c r="L268" s="45"/>
      <c r="M268" s="45"/>
      <c r="N268" s="45"/>
      <c r="O268" s="45">
        <v>0</v>
      </c>
      <c r="P268" s="118">
        <v>4150</v>
      </c>
      <c r="Q268" s="76">
        <v>1029.8499999999999</v>
      </c>
      <c r="R268" s="32">
        <f t="shared" si="145"/>
        <v>1029.8499999999999</v>
      </c>
      <c r="S268" s="76">
        <f t="shared" si="146"/>
        <v>3120.15</v>
      </c>
      <c r="T268" s="32">
        <f t="shared" si="149"/>
        <v>3120.15</v>
      </c>
      <c r="U268" s="32">
        <f t="shared" si="147"/>
        <v>3120.15</v>
      </c>
      <c r="V268" s="32"/>
      <c r="W268" s="76">
        <v>4150</v>
      </c>
      <c r="X268" s="60">
        <v>1503.84</v>
      </c>
      <c r="Y268" s="60"/>
      <c r="Z268" s="32">
        <f t="shared" si="148"/>
        <v>-2533.69</v>
      </c>
      <c r="AA268" s="34" t="s">
        <v>339</v>
      </c>
      <c r="AB268" s="234" t="s">
        <v>1102</v>
      </c>
    </row>
    <row r="269" spans="1:28" ht="15" customHeight="1" x14ac:dyDescent="0.35">
      <c r="A269" s="264"/>
      <c r="B269" s="265"/>
      <c r="C269" s="265"/>
      <c r="D269" s="70" t="s">
        <v>17</v>
      </c>
      <c r="E269" s="50" t="s">
        <v>332</v>
      </c>
      <c r="F269" s="71" t="s">
        <v>69</v>
      </c>
      <c r="G269" s="27" t="s">
        <v>55</v>
      </c>
      <c r="H269" s="27">
        <v>26</v>
      </c>
      <c r="I269" s="45">
        <v>1100</v>
      </c>
      <c r="J269" s="45">
        <v>19800</v>
      </c>
      <c r="K269" s="45">
        <v>0</v>
      </c>
      <c r="L269" s="45"/>
      <c r="M269" s="45"/>
      <c r="N269" s="45"/>
      <c r="O269" s="45">
        <v>2362.4499999999998</v>
      </c>
      <c r="P269" s="118">
        <v>17437.55</v>
      </c>
      <c r="Q269" s="76">
        <v>4410.7000000000007</v>
      </c>
      <c r="R269" s="32">
        <f t="shared" si="145"/>
        <v>6773.1500000000005</v>
      </c>
      <c r="S269" s="76">
        <f t="shared" si="146"/>
        <v>10664.399999999998</v>
      </c>
      <c r="T269" s="32">
        <f t="shared" si="149"/>
        <v>10664.399999999998</v>
      </c>
      <c r="U269" s="32">
        <f t="shared" si="147"/>
        <v>13026.849999999999</v>
      </c>
      <c r="V269" s="32"/>
      <c r="W269" s="76">
        <v>5000</v>
      </c>
      <c r="X269" s="60"/>
      <c r="Y269" s="60"/>
      <c r="Z269" s="32">
        <f t="shared" si="148"/>
        <v>8026.8499999999985</v>
      </c>
      <c r="AA269" s="34" t="s">
        <v>340</v>
      </c>
      <c r="AB269" s="127" t="s">
        <v>580</v>
      </c>
    </row>
    <row r="270" spans="1:28" ht="15" customHeight="1" x14ac:dyDescent="0.35">
      <c r="A270" s="264"/>
      <c r="B270" s="265"/>
      <c r="C270" s="265"/>
      <c r="D270" s="70" t="s">
        <v>33</v>
      </c>
      <c r="E270" s="50" t="s">
        <v>332</v>
      </c>
      <c r="F270" s="71" t="s">
        <v>69</v>
      </c>
      <c r="G270" s="27" t="s">
        <v>55</v>
      </c>
      <c r="H270" s="27">
        <v>26</v>
      </c>
      <c r="I270" s="45">
        <v>500</v>
      </c>
      <c r="J270" s="45">
        <v>0</v>
      </c>
      <c r="K270" s="45">
        <v>2000</v>
      </c>
      <c r="L270" s="45"/>
      <c r="M270" s="45"/>
      <c r="N270" s="45"/>
      <c r="O270" s="45">
        <v>0</v>
      </c>
      <c r="P270" s="118">
        <v>0</v>
      </c>
      <c r="Q270" s="76">
        <v>0</v>
      </c>
      <c r="R270" s="32">
        <f t="shared" si="145"/>
        <v>0</v>
      </c>
      <c r="S270" s="76">
        <f t="shared" si="146"/>
        <v>0</v>
      </c>
      <c r="T270" s="32">
        <f t="shared" si="149"/>
        <v>0</v>
      </c>
      <c r="U270" s="32">
        <f t="shared" si="147"/>
        <v>0</v>
      </c>
      <c r="V270" s="32"/>
      <c r="W270" s="76"/>
      <c r="X270" s="60"/>
      <c r="Y270" s="60"/>
      <c r="Z270" s="32">
        <f t="shared" si="148"/>
        <v>0</v>
      </c>
      <c r="AA270" s="34" t="s">
        <v>341</v>
      </c>
      <c r="AB270" s="127"/>
    </row>
    <row r="271" spans="1:28" ht="15" customHeight="1" x14ac:dyDescent="0.35">
      <c r="A271" s="264"/>
      <c r="B271" s="265"/>
      <c r="C271" s="265"/>
      <c r="D271" s="70" t="s">
        <v>17</v>
      </c>
      <c r="E271" s="50" t="s">
        <v>332</v>
      </c>
      <c r="F271" s="71" t="s">
        <v>73</v>
      </c>
      <c r="G271" s="27" t="s">
        <v>62</v>
      </c>
      <c r="H271" s="27">
        <v>4</v>
      </c>
      <c r="I271" s="45">
        <v>250</v>
      </c>
      <c r="J271" s="45">
        <v>1000</v>
      </c>
      <c r="K271" s="45">
        <v>0</v>
      </c>
      <c r="L271" s="45"/>
      <c r="M271" s="45"/>
      <c r="N271" s="45"/>
      <c r="O271" s="45">
        <v>773.51</v>
      </c>
      <c r="P271" s="118">
        <v>226.49</v>
      </c>
      <c r="Q271" s="76">
        <v>176.17</v>
      </c>
      <c r="R271" s="32">
        <f t="shared" si="145"/>
        <v>949.68</v>
      </c>
      <c r="S271" s="76">
        <f t="shared" si="146"/>
        <v>-723.18999999999994</v>
      </c>
      <c r="T271" s="32">
        <f t="shared" si="149"/>
        <v>-723.18999999999994</v>
      </c>
      <c r="U271" s="32">
        <f t="shared" si="147"/>
        <v>50.320000000000022</v>
      </c>
      <c r="V271" s="32"/>
      <c r="W271" s="76">
        <v>500</v>
      </c>
      <c r="X271" s="60"/>
      <c r="Y271" s="60"/>
      <c r="Z271" s="32">
        <f t="shared" si="148"/>
        <v>-449.67999999999995</v>
      </c>
      <c r="AA271" s="34" t="s">
        <v>342</v>
      </c>
      <c r="AB271" s="127"/>
    </row>
    <row r="272" spans="1:28" ht="15" customHeight="1" x14ac:dyDescent="0.35">
      <c r="A272" s="264"/>
      <c r="B272" s="265"/>
      <c r="C272" s="265"/>
      <c r="D272" s="70" t="s">
        <v>17</v>
      </c>
      <c r="E272" s="50" t="s">
        <v>332</v>
      </c>
      <c r="F272" s="71" t="s">
        <v>39</v>
      </c>
      <c r="G272" s="27" t="s">
        <v>40</v>
      </c>
      <c r="H272" s="27">
        <v>1</v>
      </c>
      <c r="I272" s="45">
        <v>2500</v>
      </c>
      <c r="J272" s="45">
        <v>2500</v>
      </c>
      <c r="K272" s="45">
        <v>0</v>
      </c>
      <c r="L272" s="45"/>
      <c r="M272" s="45"/>
      <c r="N272" s="45"/>
      <c r="O272" s="45">
        <v>4283.0200000000004</v>
      </c>
      <c r="P272" s="118">
        <v>-1783.0200000000004</v>
      </c>
      <c r="Q272" s="76">
        <v>0</v>
      </c>
      <c r="R272" s="32">
        <f t="shared" si="145"/>
        <v>4283.0200000000004</v>
      </c>
      <c r="S272" s="76">
        <f t="shared" si="146"/>
        <v>-6066.0400000000009</v>
      </c>
      <c r="T272" s="32">
        <f t="shared" si="149"/>
        <v>-6066.0400000000009</v>
      </c>
      <c r="U272" s="32">
        <f t="shared" si="147"/>
        <v>-1783.0200000000004</v>
      </c>
      <c r="V272" s="32"/>
      <c r="W272" s="76"/>
      <c r="X272" s="60"/>
      <c r="Y272" s="60"/>
      <c r="Z272" s="32">
        <f t="shared" si="148"/>
        <v>-1783.0200000000004</v>
      </c>
      <c r="AA272" s="34" t="s">
        <v>343</v>
      </c>
      <c r="AB272" s="127"/>
    </row>
    <row r="273" spans="1:28" ht="15" customHeight="1" x14ac:dyDescent="0.35">
      <c r="A273" s="264"/>
      <c r="B273" s="265"/>
      <c r="C273" s="265"/>
      <c r="D273" s="70" t="s">
        <v>17</v>
      </c>
      <c r="E273" s="50" t="s">
        <v>332</v>
      </c>
      <c r="F273" s="71" t="s">
        <v>39</v>
      </c>
      <c r="G273" s="27" t="s">
        <v>40</v>
      </c>
      <c r="H273" s="27">
        <v>4</v>
      </c>
      <c r="I273" s="45">
        <v>2500</v>
      </c>
      <c r="J273" s="45">
        <v>10000</v>
      </c>
      <c r="K273" s="45">
        <v>0</v>
      </c>
      <c r="L273" s="45"/>
      <c r="M273" s="45"/>
      <c r="N273" s="45"/>
      <c r="O273" s="45">
        <v>0</v>
      </c>
      <c r="P273" s="118">
        <v>10000</v>
      </c>
      <c r="Q273" s="76">
        <v>1508.13</v>
      </c>
      <c r="R273" s="32">
        <f t="shared" si="145"/>
        <v>1508.13</v>
      </c>
      <c r="S273" s="76">
        <f t="shared" si="146"/>
        <v>8491.869999999999</v>
      </c>
      <c r="T273" s="32">
        <f t="shared" si="149"/>
        <v>8491.869999999999</v>
      </c>
      <c r="U273" s="32">
        <f t="shared" si="147"/>
        <v>8491.869999999999</v>
      </c>
      <c r="V273" s="32"/>
      <c r="W273" s="76">
        <v>5000</v>
      </c>
      <c r="X273" s="60"/>
      <c r="Y273" s="60"/>
      <c r="Z273" s="32">
        <f t="shared" si="148"/>
        <v>3491.869999999999</v>
      </c>
      <c r="AA273" s="34" t="s">
        <v>344</v>
      </c>
      <c r="AB273" s="127"/>
    </row>
    <row r="274" spans="1:28" ht="15" customHeight="1" x14ac:dyDescent="0.35">
      <c r="A274" s="264"/>
      <c r="B274" s="265"/>
      <c r="C274" s="265"/>
      <c r="D274" s="70" t="s">
        <v>17</v>
      </c>
      <c r="E274" s="50" t="s">
        <v>332</v>
      </c>
      <c r="F274" s="71" t="s">
        <v>123</v>
      </c>
      <c r="G274" s="27" t="s">
        <v>86</v>
      </c>
      <c r="H274" s="27">
        <v>4</v>
      </c>
      <c r="I274" s="45">
        <v>1000</v>
      </c>
      <c r="J274" s="45">
        <v>0</v>
      </c>
      <c r="K274" s="45">
        <v>0</v>
      </c>
      <c r="L274" s="45"/>
      <c r="M274" s="45"/>
      <c r="N274" s="45"/>
      <c r="O274" s="45">
        <v>0</v>
      </c>
      <c r="P274" s="118">
        <v>0</v>
      </c>
      <c r="Q274" s="76">
        <v>2367.58</v>
      </c>
      <c r="R274" s="32">
        <f t="shared" si="145"/>
        <v>2367.58</v>
      </c>
      <c r="S274" s="76">
        <f t="shared" si="146"/>
        <v>-2367.58</v>
      </c>
      <c r="T274" s="32">
        <f t="shared" si="149"/>
        <v>-2367.58</v>
      </c>
      <c r="U274" s="32">
        <f t="shared" si="147"/>
        <v>-2367.58</v>
      </c>
      <c r="V274" s="32"/>
      <c r="W274" s="76"/>
      <c r="X274" s="60"/>
      <c r="Y274" s="60"/>
      <c r="Z274" s="32">
        <f t="shared" si="148"/>
        <v>-2367.58</v>
      </c>
      <c r="AA274" s="34" t="s">
        <v>345</v>
      </c>
      <c r="AB274" s="127"/>
    </row>
    <row r="275" spans="1:28" ht="15" customHeight="1" x14ac:dyDescent="0.35">
      <c r="A275" s="264"/>
      <c r="B275" s="265"/>
      <c r="C275" s="73"/>
      <c r="D275" s="73"/>
      <c r="E275" s="53"/>
      <c r="F275" s="74"/>
      <c r="G275" s="41"/>
      <c r="H275" s="41"/>
      <c r="I275" s="54"/>
      <c r="J275" s="54">
        <f>SUM(J262:J274)</f>
        <v>223916</v>
      </c>
      <c r="K275" s="54">
        <f t="shared" ref="K275:L275" si="150">SUM(K262:K274)</f>
        <v>2000</v>
      </c>
      <c r="L275" s="54">
        <f t="shared" si="150"/>
        <v>0</v>
      </c>
      <c r="M275" s="54">
        <v>22337.200000000001</v>
      </c>
      <c r="N275" s="54">
        <v>25767.620000000003</v>
      </c>
      <c r="O275" s="54">
        <v>54435.710000000006</v>
      </c>
      <c r="P275" s="54">
        <f>SUM(P262:P274)</f>
        <v>121375.47</v>
      </c>
      <c r="Q275" s="54">
        <f t="shared" ref="Q275:Z275" si="151">SUM(Q262:Q274)</f>
        <v>47221.63</v>
      </c>
      <c r="R275" s="54">
        <f t="shared" si="151"/>
        <v>149762.15999999995</v>
      </c>
      <c r="S275" s="54">
        <f t="shared" si="151"/>
        <v>-28386.689999999988</v>
      </c>
      <c r="T275" s="54">
        <f t="shared" si="151"/>
        <v>-2336.8299999999963</v>
      </c>
      <c r="U275" s="54">
        <f t="shared" si="151"/>
        <v>74153.84</v>
      </c>
      <c r="V275" s="54">
        <f t="shared" si="151"/>
        <v>0</v>
      </c>
      <c r="W275" s="54">
        <f t="shared" si="151"/>
        <v>72650</v>
      </c>
      <c r="X275" s="54">
        <f t="shared" si="151"/>
        <v>1503.84</v>
      </c>
      <c r="Y275" s="54">
        <f t="shared" si="151"/>
        <v>0</v>
      </c>
      <c r="Z275" s="54">
        <f t="shared" si="151"/>
        <v>0</v>
      </c>
      <c r="AA275" s="49"/>
      <c r="AB275" s="141" t="s">
        <v>581</v>
      </c>
    </row>
    <row r="276" spans="1:28" ht="15" customHeight="1" x14ac:dyDescent="0.35">
      <c r="A276" s="264"/>
      <c r="B276" s="265"/>
      <c r="C276" s="265" t="s">
        <v>346</v>
      </c>
      <c r="D276" s="70" t="s">
        <v>17</v>
      </c>
      <c r="E276" s="50" t="s">
        <v>347</v>
      </c>
      <c r="F276" s="71" t="s">
        <v>28</v>
      </c>
      <c r="G276" s="27" t="s">
        <v>29</v>
      </c>
      <c r="H276" s="27">
        <v>78</v>
      </c>
      <c r="I276" s="45">
        <v>1359</v>
      </c>
      <c r="J276" s="45">
        <v>131466</v>
      </c>
      <c r="K276" s="45">
        <v>0</v>
      </c>
      <c r="L276" s="45">
        <v>0</v>
      </c>
      <c r="M276" s="45">
        <v>19311.78</v>
      </c>
      <c r="N276" s="45">
        <v>28778.82</v>
      </c>
      <c r="O276" s="45">
        <v>24368.079999999998</v>
      </c>
      <c r="P276" s="118">
        <v>59007.320000000007</v>
      </c>
      <c r="Q276" s="126">
        <v>-2640.78</v>
      </c>
      <c r="R276" s="32">
        <f t="shared" ref="R276:R286" si="152">L276+M276+N276+O276+Q276</f>
        <v>69817.899999999994</v>
      </c>
      <c r="S276" s="60">
        <f>P276-R276</f>
        <v>-10810.579999999987</v>
      </c>
      <c r="T276" s="60">
        <f t="shared" ref="T276:T286" si="153">P276-R276</f>
        <v>-10810.579999999987</v>
      </c>
      <c r="U276" s="32">
        <f t="shared" ref="U276:U286" si="154">P276-Q276</f>
        <v>61648.100000000006</v>
      </c>
      <c r="V276" s="32"/>
      <c r="W276" s="126">
        <v>0</v>
      </c>
      <c r="X276" s="60"/>
      <c r="Y276" s="60"/>
      <c r="Z276" s="32">
        <f t="shared" ref="Z276:Z286" si="155">U276-(W276+X276+Y276)</f>
        <v>61648.100000000006</v>
      </c>
      <c r="AA276" s="34" t="s">
        <v>348</v>
      </c>
      <c r="AB276" s="127" t="s">
        <v>582</v>
      </c>
    </row>
    <row r="277" spans="1:28" ht="15" customHeight="1" x14ac:dyDescent="0.35">
      <c r="A277" s="264"/>
      <c r="B277" s="265"/>
      <c r="C277" s="265"/>
      <c r="D277" s="70" t="s">
        <v>17</v>
      </c>
      <c r="E277" s="50" t="s">
        <v>347</v>
      </c>
      <c r="F277" s="71" t="s">
        <v>120</v>
      </c>
      <c r="G277" s="27" t="s">
        <v>58</v>
      </c>
      <c r="H277" s="27">
        <v>40</v>
      </c>
      <c r="I277" s="45">
        <v>250</v>
      </c>
      <c r="J277" s="45">
        <v>10000</v>
      </c>
      <c r="K277" s="45">
        <v>0</v>
      </c>
      <c r="L277" s="45"/>
      <c r="M277" s="45"/>
      <c r="N277" s="45"/>
      <c r="O277" s="45">
        <v>0</v>
      </c>
      <c r="P277" s="118">
        <v>10000</v>
      </c>
      <c r="Q277" s="126">
        <v>0</v>
      </c>
      <c r="R277" s="32">
        <f t="shared" si="152"/>
        <v>0</v>
      </c>
      <c r="S277" s="60">
        <f>P277-R277</f>
        <v>10000</v>
      </c>
      <c r="T277" s="60">
        <f t="shared" si="153"/>
        <v>10000</v>
      </c>
      <c r="U277" s="32">
        <f t="shared" si="154"/>
        <v>10000</v>
      </c>
      <c r="V277" s="32"/>
      <c r="W277" s="126"/>
      <c r="X277" s="60">
        <v>10000</v>
      </c>
      <c r="Y277" s="60"/>
      <c r="Z277" s="32">
        <f t="shared" si="155"/>
        <v>0</v>
      </c>
      <c r="AA277" s="34" t="s">
        <v>349</v>
      </c>
      <c r="AB277" s="127" t="s">
        <v>583</v>
      </c>
    </row>
    <row r="278" spans="1:28" ht="15" customHeight="1" x14ac:dyDescent="0.35">
      <c r="A278" s="264"/>
      <c r="B278" s="265"/>
      <c r="C278" s="265"/>
      <c r="D278" s="144" t="s">
        <v>17</v>
      </c>
      <c r="E278" s="130" t="s">
        <v>347</v>
      </c>
      <c r="F278" s="145" t="s">
        <v>120</v>
      </c>
      <c r="G278" s="132"/>
      <c r="H278" s="132"/>
      <c r="I278" s="138"/>
      <c r="J278" s="138"/>
      <c r="K278" s="138"/>
      <c r="L278" s="138"/>
      <c r="M278" s="138"/>
      <c r="N278" s="138"/>
      <c r="O278" s="138"/>
      <c r="P278" s="138"/>
      <c r="Q278" s="139">
        <v>0</v>
      </c>
      <c r="R278" s="32">
        <f t="shared" si="152"/>
        <v>0</v>
      </c>
      <c r="S278" s="135"/>
      <c r="T278" s="135">
        <f t="shared" si="153"/>
        <v>0</v>
      </c>
      <c r="U278" s="32">
        <f t="shared" si="154"/>
        <v>0</v>
      </c>
      <c r="V278" s="32"/>
      <c r="W278" s="139">
        <v>36000</v>
      </c>
      <c r="X278" s="60">
        <f>-(133220-U287)</f>
        <v>18284.650000000023</v>
      </c>
      <c r="Y278" s="60"/>
      <c r="Z278" s="32">
        <f t="shared" si="155"/>
        <v>-54284.650000000023</v>
      </c>
      <c r="AA278" s="136" t="s">
        <v>350</v>
      </c>
      <c r="AB278" s="137" t="s">
        <v>584</v>
      </c>
    </row>
    <row r="279" spans="1:28" ht="15" customHeight="1" x14ac:dyDescent="0.35">
      <c r="A279" s="264"/>
      <c r="B279" s="265"/>
      <c r="C279" s="265"/>
      <c r="D279" s="70" t="s">
        <v>33</v>
      </c>
      <c r="E279" s="50" t="s">
        <v>347</v>
      </c>
      <c r="F279" s="71" t="s">
        <v>69</v>
      </c>
      <c r="G279" s="27" t="s">
        <v>55</v>
      </c>
      <c r="H279" s="27">
        <v>16</v>
      </c>
      <c r="I279" s="45">
        <v>375</v>
      </c>
      <c r="J279" s="45">
        <v>0</v>
      </c>
      <c r="K279" s="45">
        <v>6000</v>
      </c>
      <c r="L279" s="45"/>
      <c r="M279" s="45"/>
      <c r="N279" s="45"/>
      <c r="O279" s="45">
        <v>0</v>
      </c>
      <c r="P279" s="118">
        <v>0</v>
      </c>
      <c r="Q279" s="126">
        <v>753.29</v>
      </c>
      <c r="R279" s="32">
        <f t="shared" si="152"/>
        <v>753.29</v>
      </c>
      <c r="S279" s="60">
        <f t="shared" ref="S279:S286" si="156">P279-R279</f>
        <v>-753.29</v>
      </c>
      <c r="T279" s="60">
        <f t="shared" si="153"/>
        <v>-753.29</v>
      </c>
      <c r="U279" s="32">
        <f t="shared" si="154"/>
        <v>-753.29</v>
      </c>
      <c r="V279" s="32"/>
      <c r="W279" s="126">
        <v>0</v>
      </c>
      <c r="X279" s="60"/>
      <c r="Y279" s="60"/>
      <c r="Z279" s="32">
        <f t="shared" si="155"/>
        <v>-753.29</v>
      </c>
      <c r="AA279" s="34" t="s">
        <v>351</v>
      </c>
      <c r="AB279" s="127"/>
    </row>
    <row r="280" spans="1:28" ht="15" customHeight="1" x14ac:dyDescent="0.35">
      <c r="A280" s="264"/>
      <c r="B280" s="265"/>
      <c r="C280" s="265"/>
      <c r="D280" s="70" t="s">
        <v>17</v>
      </c>
      <c r="E280" s="50" t="s">
        <v>347</v>
      </c>
      <c r="F280" s="71" t="s">
        <v>69</v>
      </c>
      <c r="G280" s="27" t="s">
        <v>55</v>
      </c>
      <c r="H280" s="27">
        <v>16</v>
      </c>
      <c r="I280" s="45">
        <v>1100</v>
      </c>
      <c r="J280" s="45">
        <v>17600</v>
      </c>
      <c r="K280" s="45">
        <v>0</v>
      </c>
      <c r="L280" s="45"/>
      <c r="M280" s="45"/>
      <c r="N280" s="45"/>
      <c r="O280" s="45">
        <v>7727.54</v>
      </c>
      <c r="P280" s="118">
        <v>9872.4599999999991</v>
      </c>
      <c r="Q280" s="126">
        <v>0</v>
      </c>
      <c r="R280" s="32">
        <f t="shared" si="152"/>
        <v>7727.54</v>
      </c>
      <c r="S280" s="60">
        <f t="shared" si="156"/>
        <v>2144.9199999999992</v>
      </c>
      <c r="T280" s="60">
        <f t="shared" si="153"/>
        <v>2144.9199999999992</v>
      </c>
      <c r="U280" s="32">
        <f t="shared" si="154"/>
        <v>9872.4599999999991</v>
      </c>
      <c r="V280" s="32"/>
      <c r="W280" s="126"/>
      <c r="X280" s="60">
        <v>7872.46</v>
      </c>
      <c r="Y280" s="60">
        <v>2000</v>
      </c>
      <c r="Z280" s="32">
        <f t="shared" si="155"/>
        <v>0</v>
      </c>
      <c r="AA280" s="34" t="s">
        <v>352</v>
      </c>
      <c r="AB280" s="127"/>
    </row>
    <row r="281" spans="1:28" ht="15" customHeight="1" x14ac:dyDescent="0.35">
      <c r="A281" s="264"/>
      <c r="B281" s="265"/>
      <c r="C281" s="265"/>
      <c r="D281" s="70" t="s">
        <v>17</v>
      </c>
      <c r="E281" s="50" t="s">
        <v>347</v>
      </c>
      <c r="F281" s="71" t="s">
        <v>69</v>
      </c>
      <c r="G281" s="27" t="s">
        <v>55</v>
      </c>
      <c r="H281" s="27">
        <v>16</v>
      </c>
      <c r="I281" s="45">
        <v>300</v>
      </c>
      <c r="J281" s="45">
        <v>4800</v>
      </c>
      <c r="K281" s="45">
        <v>0</v>
      </c>
      <c r="L281" s="45"/>
      <c r="M281" s="45"/>
      <c r="N281" s="45"/>
      <c r="O281" s="45">
        <v>0</v>
      </c>
      <c r="P281" s="118">
        <v>4800</v>
      </c>
      <c r="Q281" s="126">
        <v>611.19999999999993</v>
      </c>
      <c r="R281" s="32">
        <f t="shared" si="152"/>
        <v>611.19999999999993</v>
      </c>
      <c r="S281" s="60">
        <f t="shared" si="156"/>
        <v>4188.8</v>
      </c>
      <c r="T281" s="60">
        <f t="shared" si="153"/>
        <v>4188.8</v>
      </c>
      <c r="U281" s="32">
        <f t="shared" si="154"/>
        <v>4188.8</v>
      </c>
      <c r="V281" s="32"/>
      <c r="W281" s="126">
        <v>2400</v>
      </c>
      <c r="X281" s="60">
        <v>3400</v>
      </c>
      <c r="Y281" s="60">
        <v>788.8</v>
      </c>
      <c r="Z281" s="32">
        <f t="shared" si="155"/>
        <v>-2400</v>
      </c>
      <c r="AA281" s="34" t="s">
        <v>353</v>
      </c>
      <c r="AB281" s="127"/>
    </row>
    <row r="282" spans="1:28" ht="15" customHeight="1" x14ac:dyDescent="0.35">
      <c r="A282" s="264"/>
      <c r="B282" s="265"/>
      <c r="C282" s="265"/>
      <c r="D282" s="70" t="s">
        <v>17</v>
      </c>
      <c r="E282" s="50" t="s">
        <v>347</v>
      </c>
      <c r="F282" s="71" t="s">
        <v>130</v>
      </c>
      <c r="G282" s="27" t="s">
        <v>40</v>
      </c>
      <c r="H282" s="27">
        <v>36</v>
      </c>
      <c r="I282" s="45">
        <v>1000</v>
      </c>
      <c r="J282" s="45">
        <v>64000</v>
      </c>
      <c r="K282" s="45">
        <v>0</v>
      </c>
      <c r="L282" s="45"/>
      <c r="M282" s="45"/>
      <c r="N282" s="45"/>
      <c r="O282" s="45">
        <v>5321.62</v>
      </c>
      <c r="P282" s="118">
        <v>58678.38</v>
      </c>
      <c r="Q282" s="126">
        <v>0</v>
      </c>
      <c r="R282" s="32">
        <f t="shared" si="152"/>
        <v>5321.62</v>
      </c>
      <c r="S282" s="60">
        <f t="shared" si="156"/>
        <v>53356.759999999995</v>
      </c>
      <c r="T282" s="60">
        <f t="shared" si="153"/>
        <v>53356.759999999995</v>
      </c>
      <c r="U282" s="32">
        <f t="shared" si="154"/>
        <v>58678.38</v>
      </c>
      <c r="V282" s="32"/>
      <c r="W282" s="126"/>
      <c r="X282" s="60">
        <v>34200</v>
      </c>
      <c r="Y282" s="60">
        <v>24748.38</v>
      </c>
      <c r="Z282" s="32">
        <f t="shared" si="155"/>
        <v>-270.00000000000728</v>
      </c>
      <c r="AA282" s="34" t="s">
        <v>354</v>
      </c>
      <c r="AB282" s="234" t="s">
        <v>1123</v>
      </c>
    </row>
    <row r="283" spans="1:28" ht="15" customHeight="1" x14ac:dyDescent="0.35">
      <c r="A283" s="264"/>
      <c r="B283" s="265"/>
      <c r="C283" s="265"/>
      <c r="D283" s="70" t="s">
        <v>17</v>
      </c>
      <c r="E283" s="50" t="s">
        <v>347</v>
      </c>
      <c r="F283" s="71" t="s">
        <v>39</v>
      </c>
      <c r="G283" s="27" t="s">
        <v>40</v>
      </c>
      <c r="H283" s="27">
        <v>3</v>
      </c>
      <c r="I283" s="45">
        <v>2500</v>
      </c>
      <c r="J283" s="45">
        <v>7500</v>
      </c>
      <c r="K283" s="45">
        <v>0</v>
      </c>
      <c r="L283" s="45"/>
      <c r="M283" s="45"/>
      <c r="N283" s="45"/>
      <c r="O283" s="45">
        <v>291.75</v>
      </c>
      <c r="P283" s="118">
        <v>7208.25</v>
      </c>
      <c r="Q283" s="126">
        <v>0</v>
      </c>
      <c r="R283" s="32">
        <f t="shared" si="152"/>
        <v>291.75</v>
      </c>
      <c r="S283" s="60">
        <f t="shared" si="156"/>
        <v>6916.5</v>
      </c>
      <c r="T283" s="60">
        <f t="shared" si="153"/>
        <v>6916.5</v>
      </c>
      <c r="U283" s="32">
        <f t="shared" si="154"/>
        <v>7208.25</v>
      </c>
      <c r="V283" s="32"/>
      <c r="W283" s="126">
        <v>3608.25</v>
      </c>
      <c r="X283" s="60">
        <v>3608.25</v>
      </c>
      <c r="Y283" s="60">
        <v>3600</v>
      </c>
      <c r="Z283" s="32">
        <f t="shared" si="155"/>
        <v>-3608.25</v>
      </c>
      <c r="AA283" s="34" t="s">
        <v>355</v>
      </c>
      <c r="AB283" s="235"/>
    </row>
    <row r="284" spans="1:28" ht="15" customHeight="1" x14ac:dyDescent="0.35">
      <c r="A284" s="264"/>
      <c r="B284" s="265"/>
      <c r="C284" s="265"/>
      <c r="D284" s="70" t="s">
        <v>33</v>
      </c>
      <c r="E284" s="50" t="s">
        <v>347</v>
      </c>
      <c r="F284" s="71" t="s">
        <v>39</v>
      </c>
      <c r="G284" s="27" t="s">
        <v>40</v>
      </c>
      <c r="H284" s="27">
        <v>3</v>
      </c>
      <c r="I284" s="45">
        <v>2500</v>
      </c>
      <c r="J284" s="45">
        <v>0</v>
      </c>
      <c r="K284" s="45">
        <v>7500</v>
      </c>
      <c r="L284" s="45"/>
      <c r="M284" s="45"/>
      <c r="N284" s="45"/>
      <c r="O284" s="45">
        <v>0</v>
      </c>
      <c r="P284" s="118">
        <v>0</v>
      </c>
      <c r="Q284" s="126">
        <v>0</v>
      </c>
      <c r="R284" s="32">
        <f t="shared" si="152"/>
        <v>0</v>
      </c>
      <c r="S284" s="60">
        <f t="shared" si="156"/>
        <v>0</v>
      </c>
      <c r="T284" s="60">
        <f t="shared" si="153"/>
        <v>0</v>
      </c>
      <c r="U284" s="32">
        <f t="shared" si="154"/>
        <v>0</v>
      </c>
      <c r="V284" s="32"/>
      <c r="W284" s="126"/>
      <c r="X284" s="60"/>
      <c r="Y284" s="60"/>
      <c r="Z284" s="32">
        <f t="shared" si="155"/>
        <v>0</v>
      </c>
      <c r="AA284" s="34" t="s">
        <v>356</v>
      </c>
      <c r="AB284" s="127"/>
    </row>
    <row r="285" spans="1:28" ht="15" customHeight="1" x14ac:dyDescent="0.35">
      <c r="A285" s="264"/>
      <c r="B285" s="265"/>
      <c r="C285" s="265"/>
      <c r="D285" s="70" t="s">
        <v>17</v>
      </c>
      <c r="E285" s="50" t="s">
        <v>347</v>
      </c>
      <c r="F285" s="71" t="s">
        <v>73</v>
      </c>
      <c r="G285" s="27" t="s">
        <v>86</v>
      </c>
      <c r="H285" s="27">
        <v>4</v>
      </c>
      <c r="I285" s="45">
        <v>250</v>
      </c>
      <c r="J285" s="45">
        <v>1000</v>
      </c>
      <c r="K285" s="45">
        <v>0</v>
      </c>
      <c r="L285" s="45"/>
      <c r="M285" s="45"/>
      <c r="N285" s="45"/>
      <c r="O285" s="45">
        <v>338.05</v>
      </c>
      <c r="P285" s="118">
        <v>661.95</v>
      </c>
      <c r="Q285" s="126">
        <v>0</v>
      </c>
      <c r="R285" s="32">
        <f t="shared" si="152"/>
        <v>338.05</v>
      </c>
      <c r="S285" s="60">
        <f t="shared" si="156"/>
        <v>323.90000000000003</v>
      </c>
      <c r="T285" s="60">
        <f t="shared" si="153"/>
        <v>323.90000000000003</v>
      </c>
      <c r="U285" s="32">
        <f t="shared" si="154"/>
        <v>661.95</v>
      </c>
      <c r="V285" s="32"/>
      <c r="W285" s="126">
        <v>331.95</v>
      </c>
      <c r="X285" s="60">
        <v>331.95</v>
      </c>
      <c r="Y285" s="60">
        <v>330</v>
      </c>
      <c r="Z285" s="32">
        <f t="shared" si="155"/>
        <v>-331.94999999999993</v>
      </c>
      <c r="AA285" s="34" t="s">
        <v>357</v>
      </c>
      <c r="AB285" s="235"/>
    </row>
    <row r="286" spans="1:28" ht="15" customHeight="1" x14ac:dyDescent="0.35">
      <c r="A286" s="264"/>
      <c r="B286" s="265"/>
      <c r="C286" s="265"/>
      <c r="D286" s="70" t="s">
        <v>33</v>
      </c>
      <c r="E286" s="50" t="s">
        <v>347</v>
      </c>
      <c r="F286" s="71" t="s">
        <v>73</v>
      </c>
      <c r="G286" s="27" t="s">
        <v>86</v>
      </c>
      <c r="H286" s="27">
        <v>4</v>
      </c>
      <c r="I286" s="45">
        <v>200</v>
      </c>
      <c r="J286" s="45">
        <v>0</v>
      </c>
      <c r="K286" s="45">
        <v>800</v>
      </c>
      <c r="L286" s="45"/>
      <c r="M286" s="45"/>
      <c r="N286" s="45"/>
      <c r="O286" s="45">
        <v>0</v>
      </c>
      <c r="P286" s="118">
        <v>0</v>
      </c>
      <c r="Q286" s="126">
        <v>0</v>
      </c>
      <c r="R286" s="32">
        <f t="shared" si="152"/>
        <v>0</v>
      </c>
      <c r="S286" s="60">
        <f t="shared" si="156"/>
        <v>0</v>
      </c>
      <c r="T286" s="60">
        <f t="shared" si="153"/>
        <v>0</v>
      </c>
      <c r="U286" s="32">
        <f t="shared" si="154"/>
        <v>0</v>
      </c>
      <c r="V286" s="32"/>
      <c r="W286" s="126">
        <v>0</v>
      </c>
      <c r="X286" s="60"/>
      <c r="Y286" s="60"/>
      <c r="Z286" s="32">
        <f t="shared" si="155"/>
        <v>0</v>
      </c>
      <c r="AA286" s="34" t="s">
        <v>358</v>
      </c>
      <c r="AB286" s="235"/>
    </row>
    <row r="287" spans="1:28" ht="15" customHeight="1" x14ac:dyDescent="0.35">
      <c r="A287" s="264"/>
      <c r="B287" s="265"/>
      <c r="C287" s="73"/>
      <c r="D287" s="73"/>
      <c r="E287" s="53"/>
      <c r="F287" s="74"/>
      <c r="G287" s="41"/>
      <c r="H287" s="41"/>
      <c r="I287" s="54"/>
      <c r="J287" s="54">
        <f>SUM(J276:J286)</f>
        <v>236366</v>
      </c>
      <c r="K287" s="54">
        <f>SUM(K276:K286)</f>
        <v>14300</v>
      </c>
      <c r="L287" s="54">
        <f>SUM(L276:L286)</f>
        <v>0</v>
      </c>
      <c r="M287" s="54">
        <v>19311.78</v>
      </c>
      <c r="N287" s="54">
        <v>28778.82</v>
      </c>
      <c r="O287" s="54">
        <v>38047.040000000001</v>
      </c>
      <c r="P287" s="54">
        <f t="shared" ref="P287:Z287" si="157">SUM(P276:P286)</f>
        <v>150228.36000000002</v>
      </c>
      <c r="Q287" s="54">
        <f t="shared" si="157"/>
        <v>-1276.2900000000004</v>
      </c>
      <c r="R287" s="54">
        <f t="shared" si="157"/>
        <v>84861.349999999977</v>
      </c>
      <c r="S287" s="54">
        <f t="shared" si="157"/>
        <v>65367.010000000009</v>
      </c>
      <c r="T287" s="54">
        <f t="shared" si="157"/>
        <v>65367.010000000009</v>
      </c>
      <c r="U287" s="54">
        <f t="shared" si="157"/>
        <v>151504.65000000002</v>
      </c>
      <c r="V287" s="54">
        <f t="shared" si="157"/>
        <v>0</v>
      </c>
      <c r="W287" s="54">
        <f>SUM(W276:W286)</f>
        <v>42340.2</v>
      </c>
      <c r="X287" s="54">
        <f t="shared" si="157"/>
        <v>77697.310000000012</v>
      </c>
      <c r="Y287" s="54">
        <f t="shared" si="157"/>
        <v>31467.18</v>
      </c>
      <c r="Z287" s="54">
        <f t="shared" si="157"/>
        <v>-4.0000000024633664E-2</v>
      </c>
      <c r="AA287" s="49"/>
      <c r="AB287" s="147" t="s">
        <v>2</v>
      </c>
    </row>
    <row r="288" spans="1:28" ht="28.75" customHeight="1" x14ac:dyDescent="0.35">
      <c r="A288" s="264"/>
      <c r="B288" s="265"/>
      <c r="C288" s="265" t="s">
        <v>359</v>
      </c>
      <c r="D288" s="70" t="s">
        <v>17</v>
      </c>
      <c r="E288" s="50" t="s">
        <v>34</v>
      </c>
      <c r="F288" s="71" t="s">
        <v>39</v>
      </c>
      <c r="G288" s="27" t="s">
        <v>40</v>
      </c>
      <c r="H288" s="27">
        <v>1</v>
      </c>
      <c r="I288" s="45">
        <v>300</v>
      </c>
      <c r="J288" s="45">
        <v>300</v>
      </c>
      <c r="K288" s="45">
        <v>0</v>
      </c>
      <c r="L288" s="45"/>
      <c r="M288" s="45"/>
      <c r="N288" s="45"/>
      <c r="O288" s="45">
        <v>0</v>
      </c>
      <c r="P288" s="118">
        <v>300</v>
      </c>
      <c r="Q288" s="126">
        <v>0</v>
      </c>
      <c r="R288" s="32">
        <f t="shared" ref="R288:R291" si="158">L288+M288+N288+O288+Q288</f>
        <v>0</v>
      </c>
      <c r="S288" s="60">
        <f>P288-R288</f>
        <v>300</v>
      </c>
      <c r="T288" s="60">
        <f>P288-R288</f>
        <v>300</v>
      </c>
      <c r="U288" s="32">
        <f t="shared" ref="U288:U291" si="159">P288-Q288</f>
        <v>300</v>
      </c>
      <c r="V288" s="32"/>
      <c r="W288" s="126"/>
      <c r="X288" s="60"/>
      <c r="Y288" s="60"/>
      <c r="Z288" s="32">
        <f t="shared" ref="Z288:Z291" si="160">U288-(W288+X288+Y288)</f>
        <v>300</v>
      </c>
      <c r="AA288" s="34" t="s">
        <v>360</v>
      </c>
      <c r="AB288" s="127" t="s">
        <v>585</v>
      </c>
    </row>
    <row r="289" spans="1:28" ht="26.5" customHeight="1" x14ac:dyDescent="0.35">
      <c r="A289" s="264"/>
      <c r="B289" s="265"/>
      <c r="C289" s="265"/>
      <c r="D289" s="70" t="s">
        <v>33</v>
      </c>
      <c r="E289" s="50" t="s">
        <v>361</v>
      </c>
      <c r="F289" s="71" t="s">
        <v>53</v>
      </c>
      <c r="G289" s="27" t="s">
        <v>86</v>
      </c>
      <c r="H289" s="27">
        <v>1</v>
      </c>
      <c r="I289" s="45">
        <v>167000</v>
      </c>
      <c r="J289" s="45">
        <v>0</v>
      </c>
      <c r="K289" s="45">
        <v>167000</v>
      </c>
      <c r="L289" s="45"/>
      <c r="M289" s="45"/>
      <c r="N289" s="45"/>
      <c r="O289" s="45">
        <v>0</v>
      </c>
      <c r="P289" s="118">
        <v>0</v>
      </c>
      <c r="Q289" s="126">
        <v>0</v>
      </c>
      <c r="R289" s="32">
        <f t="shared" si="158"/>
        <v>0</v>
      </c>
      <c r="S289" s="60">
        <f>P289-R289</f>
        <v>0</v>
      </c>
      <c r="T289" s="60">
        <f>P289-R289</f>
        <v>0</v>
      </c>
      <c r="U289" s="32">
        <f t="shared" si="159"/>
        <v>0</v>
      </c>
      <c r="V289" s="32"/>
      <c r="W289" s="126"/>
      <c r="X289" s="60"/>
      <c r="Y289" s="60"/>
      <c r="Z289" s="32">
        <f t="shared" si="160"/>
        <v>0</v>
      </c>
      <c r="AA289" s="34" t="s">
        <v>362</v>
      </c>
      <c r="AB289" s="127"/>
    </row>
    <row r="290" spans="1:28" ht="27" customHeight="1" x14ac:dyDescent="0.35">
      <c r="A290" s="264"/>
      <c r="B290" s="265"/>
      <c r="C290" s="265"/>
      <c r="D290" s="70" t="s">
        <v>17</v>
      </c>
      <c r="E290" s="50" t="s">
        <v>34</v>
      </c>
      <c r="F290" s="71" t="s">
        <v>130</v>
      </c>
      <c r="G290" s="27" t="s">
        <v>257</v>
      </c>
      <c r="H290" s="27">
        <v>24</v>
      </c>
      <c r="I290" s="45">
        <v>800</v>
      </c>
      <c r="J290" s="45">
        <v>19200</v>
      </c>
      <c r="K290" s="45">
        <v>0</v>
      </c>
      <c r="L290" s="45"/>
      <c r="M290" s="45"/>
      <c r="N290" s="45"/>
      <c r="O290" s="45">
        <v>0</v>
      </c>
      <c r="P290" s="118">
        <v>19200</v>
      </c>
      <c r="Q290" s="126">
        <v>5058.59</v>
      </c>
      <c r="R290" s="32">
        <f t="shared" si="158"/>
        <v>5058.59</v>
      </c>
      <c r="S290" s="60">
        <f>P290-R290</f>
        <v>14141.41</v>
      </c>
      <c r="T290" s="60">
        <f>P290-R290</f>
        <v>14141.41</v>
      </c>
      <c r="U290" s="32">
        <f t="shared" si="159"/>
        <v>14141.41</v>
      </c>
      <c r="V290" s="32"/>
      <c r="W290" s="126">
        <v>0</v>
      </c>
      <c r="X290" s="60">
        <v>10000</v>
      </c>
      <c r="Y290" s="60">
        <v>4141.41</v>
      </c>
      <c r="Z290" s="32">
        <f t="shared" si="160"/>
        <v>0</v>
      </c>
      <c r="AA290" s="34" t="s">
        <v>363</v>
      </c>
      <c r="AB290" s="127"/>
    </row>
    <row r="291" spans="1:28" ht="15" customHeight="1" x14ac:dyDescent="0.35">
      <c r="A291" s="264"/>
      <c r="B291" s="265"/>
      <c r="C291" s="265"/>
      <c r="D291" s="70" t="s">
        <v>17</v>
      </c>
      <c r="E291" s="50" t="s">
        <v>34</v>
      </c>
      <c r="F291" s="71" t="s">
        <v>69</v>
      </c>
      <c r="G291" s="27" t="s">
        <v>55</v>
      </c>
      <c r="H291" s="27">
        <v>24</v>
      </c>
      <c r="I291" s="45">
        <v>3200</v>
      </c>
      <c r="J291" s="45">
        <v>76800</v>
      </c>
      <c r="K291" s="45">
        <v>0</v>
      </c>
      <c r="L291" s="45"/>
      <c r="M291" s="45">
        <v>63892.29</v>
      </c>
      <c r="N291" s="45"/>
      <c r="O291" s="45">
        <v>0</v>
      </c>
      <c r="P291" s="118">
        <v>12907.71</v>
      </c>
      <c r="Q291" s="126">
        <v>2472.19</v>
      </c>
      <c r="R291" s="32">
        <f t="shared" si="158"/>
        <v>66364.479999999996</v>
      </c>
      <c r="S291" s="60">
        <f>P291-R291</f>
        <v>-53456.77</v>
      </c>
      <c r="T291" s="60">
        <f>P291-R291</f>
        <v>-53456.77</v>
      </c>
      <c r="U291" s="32">
        <f t="shared" si="159"/>
        <v>10435.519999999999</v>
      </c>
      <c r="V291" s="32"/>
      <c r="W291" s="126"/>
      <c r="X291" s="60">
        <v>7000</v>
      </c>
      <c r="Y291" s="60">
        <v>3435.52</v>
      </c>
      <c r="Z291" s="32">
        <f t="shared" si="160"/>
        <v>0</v>
      </c>
      <c r="AA291" s="34" t="s">
        <v>364</v>
      </c>
      <c r="AB291" s="127"/>
    </row>
    <row r="292" spans="1:28" ht="15" customHeight="1" x14ac:dyDescent="0.35">
      <c r="A292" s="264"/>
      <c r="B292" s="70"/>
      <c r="C292" s="73"/>
      <c r="D292" s="73"/>
      <c r="E292" s="53"/>
      <c r="F292" s="74"/>
      <c r="G292" s="41"/>
      <c r="H292" s="41"/>
      <c r="I292" s="54"/>
      <c r="J292" s="54">
        <f>SUM(J288:J291)</f>
        <v>96300</v>
      </c>
      <c r="K292" s="54">
        <f t="shared" ref="K292:L292" si="161">SUM(K288:K291)</f>
        <v>167000</v>
      </c>
      <c r="L292" s="54">
        <f t="shared" si="161"/>
        <v>0</v>
      </c>
      <c r="M292" s="54">
        <v>63892.29</v>
      </c>
      <c r="N292" s="54">
        <v>0</v>
      </c>
      <c r="O292" s="54">
        <v>0</v>
      </c>
      <c r="P292" s="54">
        <f>SUM(P288:P291)</f>
        <v>32407.71</v>
      </c>
      <c r="Q292" s="54">
        <f t="shared" ref="Q292:Z292" si="162">SUM(Q288:Q291)</f>
        <v>7530.7800000000007</v>
      </c>
      <c r="R292" s="54">
        <f t="shared" si="162"/>
        <v>71423.069999999992</v>
      </c>
      <c r="S292" s="54">
        <f t="shared" si="162"/>
        <v>-39015.360000000001</v>
      </c>
      <c r="T292" s="54">
        <f t="shared" si="162"/>
        <v>-39015.360000000001</v>
      </c>
      <c r="U292" s="54">
        <f t="shared" si="162"/>
        <v>24876.93</v>
      </c>
      <c r="V292" s="54">
        <f t="shared" si="162"/>
        <v>0</v>
      </c>
      <c r="W292" s="54">
        <f t="shared" si="162"/>
        <v>0</v>
      </c>
      <c r="X292" s="54">
        <f t="shared" si="162"/>
        <v>17000</v>
      </c>
      <c r="Y292" s="54">
        <f t="shared" si="162"/>
        <v>7576.93</v>
      </c>
      <c r="Z292" s="54">
        <f t="shared" si="162"/>
        <v>300</v>
      </c>
      <c r="AA292" s="49"/>
      <c r="AB292" s="141" t="s">
        <v>586</v>
      </c>
    </row>
    <row r="293" spans="1:28" ht="25" customHeight="1" x14ac:dyDescent="0.35">
      <c r="A293" s="264"/>
      <c r="B293" s="265" t="s">
        <v>365</v>
      </c>
      <c r="C293" s="265" t="s">
        <v>366</v>
      </c>
      <c r="D293" s="70" t="s">
        <v>17</v>
      </c>
      <c r="E293" s="50" t="s">
        <v>161</v>
      </c>
      <c r="F293" s="71" t="s">
        <v>120</v>
      </c>
      <c r="G293" s="27" t="s">
        <v>58</v>
      </c>
      <c r="H293" s="27">
        <v>600</v>
      </c>
      <c r="I293" s="45">
        <v>500</v>
      </c>
      <c r="J293" s="45">
        <v>300000</v>
      </c>
      <c r="K293" s="45">
        <v>0</v>
      </c>
      <c r="L293" s="45"/>
      <c r="M293" s="45"/>
      <c r="N293" s="45"/>
      <c r="O293" s="45">
        <v>53375</v>
      </c>
      <c r="P293" s="118">
        <v>246625</v>
      </c>
      <c r="Q293" s="126">
        <v>59872.299999999996</v>
      </c>
      <c r="R293" s="32">
        <f t="shared" ref="R293:R310" si="163">L293+M293+N293+O293+Q293</f>
        <v>113247.29999999999</v>
      </c>
      <c r="S293" s="60">
        <f t="shared" ref="S293:S310" si="164">P293-R293</f>
        <v>133377.70000000001</v>
      </c>
      <c r="T293" s="60"/>
      <c r="U293" s="32">
        <f t="shared" ref="U293:U310" si="165">P293-Q293</f>
        <v>186752.7</v>
      </c>
      <c r="V293" s="32"/>
      <c r="W293" s="126"/>
      <c r="X293" s="60">
        <v>90000</v>
      </c>
      <c r="Y293" s="60">
        <v>90000</v>
      </c>
      <c r="Z293" s="32">
        <f t="shared" ref="Z293:Z310" si="166">U293-(W293+X293+Y293)</f>
        <v>6752.7000000000116</v>
      </c>
      <c r="AA293" s="34" t="s">
        <v>367</v>
      </c>
      <c r="AB293" s="127" t="s">
        <v>1104</v>
      </c>
    </row>
    <row r="294" spans="1:28" ht="15" customHeight="1" x14ac:dyDescent="0.35">
      <c r="A294" s="264"/>
      <c r="B294" s="265"/>
      <c r="C294" s="265"/>
      <c r="D294" s="70" t="s">
        <v>33</v>
      </c>
      <c r="E294" s="50" t="s">
        <v>34</v>
      </c>
      <c r="F294" s="71" t="s">
        <v>28</v>
      </c>
      <c r="G294" s="27" t="s">
        <v>29</v>
      </c>
      <c r="H294" s="27">
        <v>5</v>
      </c>
      <c r="I294" s="45">
        <v>4000</v>
      </c>
      <c r="J294" s="45">
        <v>0</v>
      </c>
      <c r="K294" s="45">
        <v>20000</v>
      </c>
      <c r="L294" s="45"/>
      <c r="M294" s="45"/>
      <c r="N294" s="45"/>
      <c r="O294" s="45">
        <v>0</v>
      </c>
      <c r="P294" s="118">
        <v>0</v>
      </c>
      <c r="Q294" s="126">
        <v>0</v>
      </c>
      <c r="R294" s="32">
        <f t="shared" si="163"/>
        <v>0</v>
      </c>
      <c r="S294" s="60">
        <f t="shared" si="164"/>
        <v>0</v>
      </c>
      <c r="T294" s="60"/>
      <c r="U294" s="32">
        <f t="shared" si="165"/>
        <v>0</v>
      </c>
      <c r="V294" s="32"/>
      <c r="W294" s="126">
        <v>0</v>
      </c>
      <c r="X294" s="60"/>
      <c r="Y294" s="60"/>
      <c r="Z294" s="32">
        <f t="shared" si="166"/>
        <v>0</v>
      </c>
      <c r="AA294" s="34" t="s">
        <v>368</v>
      </c>
      <c r="AB294" s="127"/>
    </row>
    <row r="295" spans="1:28" ht="26.5" customHeight="1" x14ac:dyDescent="0.35">
      <c r="A295" s="264"/>
      <c r="B295" s="265"/>
      <c r="C295" s="265"/>
      <c r="D295" s="70" t="s">
        <v>17</v>
      </c>
      <c r="E295" s="50" t="s">
        <v>34</v>
      </c>
      <c r="F295" s="71" t="s">
        <v>369</v>
      </c>
      <c r="G295" s="27" t="s">
        <v>86</v>
      </c>
      <c r="H295" s="27">
        <v>6</v>
      </c>
      <c r="I295" s="45">
        <v>10000</v>
      </c>
      <c r="J295" s="45">
        <v>60000</v>
      </c>
      <c r="K295" s="45">
        <v>0</v>
      </c>
      <c r="L295" s="45"/>
      <c r="M295" s="45"/>
      <c r="N295" s="45"/>
      <c r="O295" s="45">
        <v>73510.959999999992</v>
      </c>
      <c r="P295" s="118">
        <v>-13510.959999999992</v>
      </c>
      <c r="Q295" s="126">
        <v>0</v>
      </c>
      <c r="R295" s="32">
        <f t="shared" si="163"/>
        <v>73510.959999999992</v>
      </c>
      <c r="S295" s="60">
        <f t="shared" si="164"/>
        <v>-87021.919999999984</v>
      </c>
      <c r="T295" s="60"/>
      <c r="U295" s="32">
        <f t="shared" si="165"/>
        <v>-13510.959999999992</v>
      </c>
      <c r="V295" s="32"/>
      <c r="W295" s="126">
        <v>0</v>
      </c>
      <c r="X295" s="60"/>
      <c r="Y295" s="60"/>
      <c r="Z295" s="32">
        <f t="shared" si="166"/>
        <v>-13510.959999999992</v>
      </c>
      <c r="AA295" s="34" t="s">
        <v>370</v>
      </c>
      <c r="AB295" s="127"/>
    </row>
    <row r="296" spans="1:28" ht="27" customHeight="1" x14ac:dyDescent="0.35">
      <c r="A296" s="264"/>
      <c r="B296" s="265"/>
      <c r="C296" s="265"/>
      <c r="D296" s="70" t="s">
        <v>17</v>
      </c>
      <c r="E296" s="50" t="s">
        <v>34</v>
      </c>
      <c r="F296" s="71" t="s">
        <v>369</v>
      </c>
      <c r="G296" s="27" t="s">
        <v>86</v>
      </c>
      <c r="H296" s="27">
        <v>6</v>
      </c>
      <c r="I296" s="45">
        <v>10000</v>
      </c>
      <c r="J296" s="45">
        <v>60000</v>
      </c>
      <c r="K296" s="45">
        <v>0</v>
      </c>
      <c r="L296" s="45"/>
      <c r="M296" s="45"/>
      <c r="N296" s="45"/>
      <c r="O296" s="45">
        <v>0</v>
      </c>
      <c r="P296" s="118">
        <v>60000</v>
      </c>
      <c r="Q296" s="126">
        <v>44046.429999999993</v>
      </c>
      <c r="R296" s="32">
        <f t="shared" si="163"/>
        <v>44046.429999999993</v>
      </c>
      <c r="S296" s="60">
        <f t="shared" si="164"/>
        <v>15953.570000000007</v>
      </c>
      <c r="T296" s="60"/>
      <c r="U296" s="32">
        <f t="shared" si="165"/>
        <v>15953.570000000007</v>
      </c>
      <c r="V296" s="32"/>
      <c r="W296" s="126">
        <v>0</v>
      </c>
      <c r="X296" s="60">
        <v>5472.36</v>
      </c>
      <c r="Y296" s="60"/>
      <c r="Z296" s="32">
        <f t="shared" si="166"/>
        <v>10481.210000000006</v>
      </c>
      <c r="AA296" s="34" t="s">
        <v>371</v>
      </c>
      <c r="AB296" s="148" t="s">
        <v>587</v>
      </c>
    </row>
    <row r="297" spans="1:28" ht="25.25" customHeight="1" x14ac:dyDescent="0.35">
      <c r="A297" s="264"/>
      <c r="B297" s="265"/>
      <c r="C297" s="265"/>
      <c r="D297" s="70" t="s">
        <v>17</v>
      </c>
      <c r="E297" s="50" t="s">
        <v>34</v>
      </c>
      <c r="F297" s="71" t="s">
        <v>369</v>
      </c>
      <c r="G297" s="27" t="s">
        <v>86</v>
      </c>
      <c r="H297" s="27">
        <v>12</v>
      </c>
      <c r="I297" s="45">
        <v>3000</v>
      </c>
      <c r="J297" s="45">
        <v>96000</v>
      </c>
      <c r="K297" s="45">
        <v>0</v>
      </c>
      <c r="L297" s="45"/>
      <c r="M297" s="45"/>
      <c r="N297" s="45"/>
      <c r="O297" s="45">
        <v>3852.61</v>
      </c>
      <c r="P297" s="118">
        <v>92147.39</v>
      </c>
      <c r="Q297" s="126">
        <v>2370.0700000000002</v>
      </c>
      <c r="R297" s="32">
        <f t="shared" si="163"/>
        <v>6222.68</v>
      </c>
      <c r="S297" s="60">
        <f t="shared" si="164"/>
        <v>85924.709999999992</v>
      </c>
      <c r="T297" s="60"/>
      <c r="U297" s="32">
        <f t="shared" si="165"/>
        <v>89777.319999999992</v>
      </c>
      <c r="V297" s="32"/>
      <c r="W297" s="126">
        <v>40000</v>
      </c>
      <c r="X297" s="60"/>
      <c r="Y297" s="60"/>
      <c r="Z297" s="32">
        <f t="shared" si="166"/>
        <v>49777.319999999992</v>
      </c>
      <c r="AA297" s="34" t="s">
        <v>372</v>
      </c>
      <c r="AB297" s="127" t="s">
        <v>588</v>
      </c>
    </row>
    <row r="298" spans="1:28" ht="15" customHeight="1" x14ac:dyDescent="0.35">
      <c r="A298" s="264"/>
      <c r="B298" s="265"/>
      <c r="C298" s="265"/>
      <c r="D298" s="70" t="s">
        <v>17</v>
      </c>
      <c r="E298" s="50" t="s">
        <v>34</v>
      </c>
      <c r="F298" s="71" t="s">
        <v>61</v>
      </c>
      <c r="G298" s="27" t="s">
        <v>62</v>
      </c>
      <c r="H298" s="27">
        <v>12</v>
      </c>
      <c r="I298" s="45">
        <v>400</v>
      </c>
      <c r="J298" s="45">
        <v>4800</v>
      </c>
      <c r="K298" s="45">
        <v>0</v>
      </c>
      <c r="L298" s="45"/>
      <c r="M298" s="45"/>
      <c r="N298" s="45"/>
      <c r="O298" s="45">
        <v>0</v>
      </c>
      <c r="P298" s="118">
        <v>4800</v>
      </c>
      <c r="Q298" s="126">
        <v>0</v>
      </c>
      <c r="R298" s="32">
        <f t="shared" si="163"/>
        <v>0</v>
      </c>
      <c r="S298" s="60">
        <f t="shared" si="164"/>
        <v>4800</v>
      </c>
      <c r="T298" s="60"/>
      <c r="U298" s="32">
        <f t="shared" si="165"/>
        <v>4800</v>
      </c>
      <c r="V298" s="32"/>
      <c r="W298" s="126">
        <v>0</v>
      </c>
      <c r="X298" s="60"/>
      <c r="Y298" s="60"/>
      <c r="Z298" s="32">
        <f t="shared" si="166"/>
        <v>4800</v>
      </c>
      <c r="AA298" s="34" t="s">
        <v>373</v>
      </c>
      <c r="AB298" s="127" t="s">
        <v>589</v>
      </c>
    </row>
    <row r="299" spans="1:28" ht="15" customHeight="1" x14ac:dyDescent="0.35">
      <c r="A299" s="264"/>
      <c r="B299" s="265"/>
      <c r="C299" s="265"/>
      <c r="D299" s="70" t="s">
        <v>17</v>
      </c>
      <c r="E299" s="50" t="s">
        <v>34</v>
      </c>
      <c r="F299" s="71" t="s">
        <v>53</v>
      </c>
      <c r="G299" s="27" t="s">
        <v>283</v>
      </c>
      <c r="H299" s="27">
        <v>12</v>
      </c>
      <c r="I299" s="45">
        <v>12</v>
      </c>
      <c r="J299" s="45">
        <v>57600</v>
      </c>
      <c r="K299" s="45">
        <v>0</v>
      </c>
      <c r="L299" s="45"/>
      <c r="M299" s="45"/>
      <c r="N299" s="45"/>
      <c r="O299" s="45">
        <v>44120.100000000006</v>
      </c>
      <c r="P299" s="118">
        <v>13479.899999999994</v>
      </c>
      <c r="Q299" s="126">
        <v>0</v>
      </c>
      <c r="R299" s="32">
        <f t="shared" si="163"/>
        <v>44120.100000000006</v>
      </c>
      <c r="S299" s="60">
        <f t="shared" si="164"/>
        <v>-30640.200000000012</v>
      </c>
      <c r="T299" s="60"/>
      <c r="U299" s="32">
        <f t="shared" si="165"/>
        <v>13479.899999999994</v>
      </c>
      <c r="V299" s="32"/>
      <c r="W299" s="126">
        <v>0</v>
      </c>
      <c r="X299" s="60"/>
      <c r="Y299" s="60"/>
      <c r="Z299" s="32">
        <f t="shared" si="166"/>
        <v>13479.899999999994</v>
      </c>
      <c r="AA299" s="34" t="s">
        <v>374</v>
      </c>
      <c r="AB299" s="127" t="s">
        <v>590</v>
      </c>
    </row>
    <row r="300" spans="1:28" ht="15" customHeight="1" x14ac:dyDescent="0.35">
      <c r="A300" s="264"/>
      <c r="B300" s="265"/>
      <c r="C300" s="265"/>
      <c r="D300" s="70" t="s">
        <v>17</v>
      </c>
      <c r="E300" s="50" t="s">
        <v>34</v>
      </c>
      <c r="F300" s="71" t="s">
        <v>69</v>
      </c>
      <c r="G300" s="27" t="s">
        <v>55</v>
      </c>
      <c r="H300" s="27">
        <v>114</v>
      </c>
      <c r="I300" s="45">
        <v>1100</v>
      </c>
      <c r="J300" s="45">
        <v>125400</v>
      </c>
      <c r="K300" s="45">
        <v>0</v>
      </c>
      <c r="L300" s="45"/>
      <c r="M300" s="45"/>
      <c r="N300" s="45"/>
      <c r="O300" s="45">
        <v>0</v>
      </c>
      <c r="P300" s="118">
        <v>125400</v>
      </c>
      <c r="Q300" s="126">
        <v>18730.57</v>
      </c>
      <c r="R300" s="32">
        <f t="shared" si="163"/>
        <v>18730.57</v>
      </c>
      <c r="S300" s="60">
        <f t="shared" si="164"/>
        <v>106669.43</v>
      </c>
      <c r="T300" s="60"/>
      <c r="U300" s="32">
        <f t="shared" si="165"/>
        <v>106669.43</v>
      </c>
      <c r="V300" s="32"/>
      <c r="W300" s="126">
        <f>17400+25000</f>
        <v>42400</v>
      </c>
      <c r="X300" s="60">
        <v>20000</v>
      </c>
      <c r="Y300" s="60">
        <v>20000</v>
      </c>
      <c r="Z300" s="32">
        <f t="shared" si="166"/>
        <v>24269.429999999993</v>
      </c>
      <c r="AA300" s="34" t="s">
        <v>375</v>
      </c>
      <c r="AB300" s="148" t="s">
        <v>591</v>
      </c>
    </row>
    <row r="301" spans="1:28" ht="15" customHeight="1" x14ac:dyDescent="0.35">
      <c r="A301" s="264"/>
      <c r="B301" s="265"/>
      <c r="C301" s="265"/>
      <c r="D301" s="70" t="s">
        <v>17</v>
      </c>
      <c r="E301" s="50" t="s">
        <v>34</v>
      </c>
      <c r="F301" s="71" t="s">
        <v>69</v>
      </c>
      <c r="G301" s="27" t="s">
        <v>55</v>
      </c>
      <c r="H301" s="27">
        <v>96</v>
      </c>
      <c r="I301" s="45">
        <v>1100</v>
      </c>
      <c r="J301" s="45">
        <v>92400</v>
      </c>
      <c r="K301" s="45">
        <v>0</v>
      </c>
      <c r="L301" s="45"/>
      <c r="M301" s="45"/>
      <c r="N301" s="45"/>
      <c r="O301" s="45">
        <v>0</v>
      </c>
      <c r="P301" s="118">
        <v>92400</v>
      </c>
      <c r="Q301" s="126">
        <v>0</v>
      </c>
      <c r="R301" s="32">
        <f t="shared" si="163"/>
        <v>0</v>
      </c>
      <c r="S301" s="60">
        <f t="shared" si="164"/>
        <v>92400</v>
      </c>
      <c r="T301" s="60"/>
      <c r="U301" s="32">
        <f t="shared" si="165"/>
        <v>92400</v>
      </c>
      <c r="V301" s="32"/>
      <c r="W301" s="126">
        <v>0</v>
      </c>
      <c r="X301" s="60"/>
      <c r="Y301" s="60"/>
      <c r="Z301" s="32">
        <f t="shared" si="166"/>
        <v>92400</v>
      </c>
      <c r="AA301" s="34" t="s">
        <v>376</v>
      </c>
      <c r="AB301" s="127" t="s">
        <v>592</v>
      </c>
    </row>
    <row r="302" spans="1:28" ht="15" customHeight="1" x14ac:dyDescent="0.35">
      <c r="A302" s="264"/>
      <c r="B302" s="265"/>
      <c r="C302" s="265"/>
      <c r="D302" s="70" t="s">
        <v>17</v>
      </c>
      <c r="E302" s="50" t="s">
        <v>34</v>
      </c>
      <c r="F302" s="71" t="s">
        <v>69</v>
      </c>
      <c r="G302" s="27" t="s">
        <v>55</v>
      </c>
      <c r="H302" s="27">
        <v>48</v>
      </c>
      <c r="I302" s="45">
        <v>1000</v>
      </c>
      <c r="J302" s="45">
        <v>48000</v>
      </c>
      <c r="K302" s="45">
        <v>0</v>
      </c>
      <c r="L302" s="45"/>
      <c r="M302" s="45"/>
      <c r="N302" s="45"/>
      <c r="O302" s="45">
        <v>2877.18</v>
      </c>
      <c r="P302" s="118">
        <v>45122.82</v>
      </c>
      <c r="Q302" s="126">
        <v>4729.54</v>
      </c>
      <c r="R302" s="32">
        <f t="shared" si="163"/>
        <v>7606.7199999999993</v>
      </c>
      <c r="S302" s="60">
        <f t="shared" si="164"/>
        <v>37516.1</v>
      </c>
      <c r="T302" s="60"/>
      <c r="U302" s="32">
        <f t="shared" si="165"/>
        <v>40393.279999999999</v>
      </c>
      <c r="V302" s="32"/>
      <c r="W302" s="126">
        <v>0</v>
      </c>
      <c r="X302" s="60"/>
      <c r="Y302" s="60"/>
      <c r="Z302" s="32">
        <f t="shared" si="166"/>
        <v>40393.279999999999</v>
      </c>
      <c r="AA302" s="34" t="s">
        <v>377</v>
      </c>
      <c r="AB302" s="148" t="s">
        <v>593</v>
      </c>
    </row>
    <row r="303" spans="1:28" ht="15" customHeight="1" x14ac:dyDescent="0.35">
      <c r="A303" s="264"/>
      <c r="B303" s="265"/>
      <c r="C303" s="265"/>
      <c r="D303" s="70" t="s">
        <v>17</v>
      </c>
      <c r="E303" s="50" t="s">
        <v>34</v>
      </c>
      <c r="F303" s="71" t="s">
        <v>130</v>
      </c>
      <c r="G303" s="27" t="s">
        <v>257</v>
      </c>
      <c r="H303" s="27">
        <v>12</v>
      </c>
      <c r="I303" s="45">
        <v>800</v>
      </c>
      <c r="J303" s="45">
        <v>9600</v>
      </c>
      <c r="K303" s="45">
        <v>0</v>
      </c>
      <c r="L303" s="45"/>
      <c r="M303" s="45"/>
      <c r="N303" s="45"/>
      <c r="O303" s="45">
        <v>0</v>
      </c>
      <c r="P303" s="118">
        <v>9600</v>
      </c>
      <c r="Q303" s="126">
        <v>6143.36</v>
      </c>
      <c r="R303" s="32">
        <f t="shared" si="163"/>
        <v>6143.36</v>
      </c>
      <c r="S303" s="60">
        <f t="shared" si="164"/>
        <v>3456.6400000000003</v>
      </c>
      <c r="T303" s="60"/>
      <c r="U303" s="32">
        <f t="shared" si="165"/>
        <v>3456.6400000000003</v>
      </c>
      <c r="V303" s="32"/>
      <c r="W303" s="126">
        <v>0</v>
      </c>
      <c r="X303" s="60"/>
      <c r="Y303" s="60"/>
      <c r="Z303" s="32">
        <f t="shared" si="166"/>
        <v>3456.6400000000003</v>
      </c>
      <c r="AA303" s="34" t="s">
        <v>378</v>
      </c>
      <c r="AB303" s="127" t="s">
        <v>594</v>
      </c>
    </row>
    <row r="304" spans="1:28" ht="15" customHeight="1" x14ac:dyDescent="0.35">
      <c r="A304" s="264"/>
      <c r="B304" s="265"/>
      <c r="C304" s="265"/>
      <c r="D304" s="70" t="s">
        <v>17</v>
      </c>
      <c r="E304" s="50" t="s">
        <v>34</v>
      </c>
      <c r="F304" s="71" t="s">
        <v>39</v>
      </c>
      <c r="G304" s="27" t="s">
        <v>40</v>
      </c>
      <c r="H304" s="27">
        <v>1</v>
      </c>
      <c r="I304" s="45">
        <v>450</v>
      </c>
      <c r="J304" s="45">
        <v>450</v>
      </c>
      <c r="K304" s="45">
        <v>0</v>
      </c>
      <c r="L304" s="45"/>
      <c r="M304" s="45"/>
      <c r="N304" s="45"/>
      <c r="O304" s="45">
        <v>245.93</v>
      </c>
      <c r="P304" s="118">
        <v>204.07</v>
      </c>
      <c r="Q304" s="126">
        <v>0</v>
      </c>
      <c r="R304" s="32">
        <f t="shared" si="163"/>
        <v>245.93</v>
      </c>
      <c r="S304" s="60">
        <f t="shared" si="164"/>
        <v>-41.860000000000014</v>
      </c>
      <c r="T304" s="60"/>
      <c r="U304" s="32">
        <f t="shared" si="165"/>
        <v>204.07</v>
      </c>
      <c r="V304" s="32"/>
      <c r="W304" s="126">
        <v>0</v>
      </c>
      <c r="X304" s="60">
        <v>204.02</v>
      </c>
      <c r="Y304" s="60"/>
      <c r="Z304" s="32">
        <f t="shared" si="166"/>
        <v>4.9999999999982947E-2</v>
      </c>
      <c r="AA304" s="34" t="s">
        <v>379</v>
      </c>
      <c r="AB304" s="127" t="s">
        <v>595</v>
      </c>
    </row>
    <row r="305" spans="1:28" ht="15" customHeight="1" x14ac:dyDescent="0.35">
      <c r="A305" s="264"/>
      <c r="B305" s="265"/>
      <c r="C305" s="265"/>
      <c r="D305" s="70" t="s">
        <v>17</v>
      </c>
      <c r="E305" s="50" t="s">
        <v>34</v>
      </c>
      <c r="F305" s="71" t="s">
        <v>127</v>
      </c>
      <c r="G305" s="27" t="s">
        <v>55</v>
      </c>
      <c r="H305" s="27">
        <v>42</v>
      </c>
      <c r="I305" s="45">
        <v>500</v>
      </c>
      <c r="J305" s="45">
        <v>21000</v>
      </c>
      <c r="K305" s="45">
        <v>0</v>
      </c>
      <c r="L305" s="45"/>
      <c r="M305" s="45"/>
      <c r="N305" s="45"/>
      <c r="O305" s="45">
        <v>0</v>
      </c>
      <c r="P305" s="118">
        <v>21000</v>
      </c>
      <c r="Q305" s="126">
        <v>3997.45</v>
      </c>
      <c r="R305" s="32">
        <f t="shared" si="163"/>
        <v>3997.45</v>
      </c>
      <c r="S305" s="60">
        <f t="shared" si="164"/>
        <v>17002.55</v>
      </c>
      <c r="T305" s="60"/>
      <c r="U305" s="32">
        <f t="shared" si="165"/>
        <v>17002.55</v>
      </c>
      <c r="V305" s="32"/>
      <c r="W305" s="126">
        <v>0</v>
      </c>
      <c r="X305" s="60">
        <v>10000</v>
      </c>
      <c r="Y305" s="60">
        <v>7002.55</v>
      </c>
      <c r="Z305" s="32">
        <f t="shared" si="166"/>
        <v>0</v>
      </c>
      <c r="AA305" s="34" t="s">
        <v>380</v>
      </c>
      <c r="AB305" s="127" t="s">
        <v>596</v>
      </c>
    </row>
    <row r="306" spans="1:28" ht="15" customHeight="1" x14ac:dyDescent="0.35">
      <c r="A306" s="264"/>
      <c r="B306" s="265"/>
      <c r="C306" s="265"/>
      <c r="D306" s="70" t="s">
        <v>17</v>
      </c>
      <c r="E306" s="50" t="s">
        <v>34</v>
      </c>
      <c r="F306" s="71" t="s">
        <v>123</v>
      </c>
      <c r="G306" s="27" t="s">
        <v>86</v>
      </c>
      <c r="H306" s="27">
        <v>12</v>
      </c>
      <c r="I306" s="45">
        <v>2000</v>
      </c>
      <c r="J306" s="45">
        <v>24000</v>
      </c>
      <c r="K306" s="45">
        <v>0</v>
      </c>
      <c r="L306" s="45"/>
      <c r="M306" s="45"/>
      <c r="N306" s="45"/>
      <c r="O306" s="45">
        <v>0</v>
      </c>
      <c r="P306" s="118">
        <v>24000</v>
      </c>
      <c r="Q306" s="126">
        <v>3332.8199999999997</v>
      </c>
      <c r="R306" s="32">
        <f t="shared" si="163"/>
        <v>3332.8199999999997</v>
      </c>
      <c r="S306" s="60">
        <f t="shared" si="164"/>
        <v>20667.18</v>
      </c>
      <c r="T306" s="60"/>
      <c r="U306" s="32">
        <f t="shared" si="165"/>
        <v>20667.18</v>
      </c>
      <c r="V306" s="32">
        <v>6000</v>
      </c>
      <c r="W306" s="126"/>
      <c r="X306" s="60">
        <v>1000</v>
      </c>
      <c r="Y306" s="238">
        <v>2000</v>
      </c>
      <c r="Z306" s="32">
        <f t="shared" si="166"/>
        <v>17667.18</v>
      </c>
      <c r="AA306" s="34" t="s">
        <v>381</v>
      </c>
      <c r="AB306" s="127" t="s">
        <v>597</v>
      </c>
    </row>
    <row r="307" spans="1:28" ht="15" customHeight="1" x14ac:dyDescent="0.35">
      <c r="A307" s="264"/>
      <c r="B307" s="265"/>
      <c r="C307" s="265"/>
      <c r="D307" s="70" t="s">
        <v>17</v>
      </c>
      <c r="E307" s="50" t="s">
        <v>34</v>
      </c>
      <c r="F307" s="71" t="s">
        <v>73</v>
      </c>
      <c r="G307" s="27" t="s">
        <v>86</v>
      </c>
      <c r="H307" s="27">
        <v>4</v>
      </c>
      <c r="I307" s="45">
        <v>250</v>
      </c>
      <c r="J307" s="45">
        <v>1000</v>
      </c>
      <c r="K307" s="45">
        <v>0</v>
      </c>
      <c r="L307" s="45"/>
      <c r="M307" s="45"/>
      <c r="N307" s="45"/>
      <c r="O307" s="45">
        <v>0</v>
      </c>
      <c r="P307" s="118">
        <v>1000</v>
      </c>
      <c r="Q307" s="126">
        <v>0</v>
      </c>
      <c r="R307" s="32">
        <f t="shared" si="163"/>
        <v>0</v>
      </c>
      <c r="S307" s="60">
        <f t="shared" si="164"/>
        <v>1000</v>
      </c>
      <c r="T307" s="60"/>
      <c r="U307" s="32">
        <f t="shared" si="165"/>
        <v>1000</v>
      </c>
      <c r="V307" s="32">
        <v>5000</v>
      </c>
      <c r="W307" s="126"/>
      <c r="X307" s="60">
        <v>2200</v>
      </c>
      <c r="Y307" s="60">
        <v>2200</v>
      </c>
      <c r="Z307" s="32">
        <f t="shared" si="166"/>
        <v>-3400</v>
      </c>
      <c r="AA307" s="34" t="s">
        <v>382</v>
      </c>
      <c r="AB307" s="127" t="s">
        <v>598</v>
      </c>
    </row>
    <row r="308" spans="1:28" ht="15" customHeight="1" x14ac:dyDescent="0.35">
      <c r="A308" s="264"/>
      <c r="B308" s="265"/>
      <c r="C308" s="265"/>
      <c r="D308" s="70" t="s">
        <v>17</v>
      </c>
      <c r="E308" s="50" t="s">
        <v>34</v>
      </c>
      <c r="F308" s="71" t="s">
        <v>130</v>
      </c>
      <c r="G308" s="27" t="s">
        <v>40</v>
      </c>
      <c r="H308" s="27">
        <v>42</v>
      </c>
      <c r="I308" s="45">
        <v>1000</v>
      </c>
      <c r="J308" s="45">
        <v>42000</v>
      </c>
      <c r="K308" s="45">
        <v>0</v>
      </c>
      <c r="L308" s="45"/>
      <c r="M308" s="45"/>
      <c r="N308" s="45"/>
      <c r="O308" s="45">
        <v>0</v>
      </c>
      <c r="P308" s="118">
        <v>42000</v>
      </c>
      <c r="Q308" s="126">
        <v>7373.49</v>
      </c>
      <c r="R308" s="32">
        <f t="shared" si="163"/>
        <v>7373.49</v>
      </c>
      <c r="S308" s="60">
        <f t="shared" si="164"/>
        <v>34626.51</v>
      </c>
      <c r="T308" s="60"/>
      <c r="U308" s="32">
        <f t="shared" si="165"/>
        <v>34626.51</v>
      </c>
      <c r="V308" s="32">
        <v>10000</v>
      </c>
      <c r="W308" s="126"/>
      <c r="X308" s="60">
        <v>30000</v>
      </c>
      <c r="Y308" s="60">
        <v>30000</v>
      </c>
      <c r="Z308" s="32">
        <f t="shared" si="166"/>
        <v>-25373.489999999998</v>
      </c>
      <c r="AA308" s="34" t="s">
        <v>383</v>
      </c>
      <c r="AB308" s="127" t="s">
        <v>2</v>
      </c>
    </row>
    <row r="309" spans="1:28" ht="15" customHeight="1" x14ac:dyDescent="0.35">
      <c r="A309" s="264"/>
      <c r="B309" s="265"/>
      <c r="C309" s="265"/>
      <c r="D309" s="50" t="s">
        <v>17</v>
      </c>
      <c r="E309" s="50" t="s">
        <v>34</v>
      </c>
      <c r="F309" s="71" t="s">
        <v>53</v>
      </c>
      <c r="G309" s="27" t="s">
        <v>86</v>
      </c>
      <c r="H309" s="27">
        <v>10</v>
      </c>
      <c r="I309" s="45">
        <v>5000</v>
      </c>
      <c r="J309" s="45">
        <v>50000</v>
      </c>
      <c r="K309" s="45">
        <v>0</v>
      </c>
      <c r="L309" s="45"/>
      <c r="M309" s="45"/>
      <c r="N309" s="45"/>
      <c r="O309" s="45">
        <v>0</v>
      </c>
      <c r="P309" s="118">
        <v>50000</v>
      </c>
      <c r="Q309" s="126">
        <v>0</v>
      </c>
      <c r="R309" s="32">
        <f t="shared" si="163"/>
        <v>0</v>
      </c>
      <c r="S309" s="60">
        <f t="shared" si="164"/>
        <v>50000</v>
      </c>
      <c r="T309" s="60"/>
      <c r="U309" s="32">
        <f t="shared" si="165"/>
        <v>50000</v>
      </c>
      <c r="V309" s="32">
        <v>20000</v>
      </c>
      <c r="W309" s="126"/>
      <c r="X309" s="60">
        <v>23700</v>
      </c>
      <c r="Y309" s="60">
        <v>23700</v>
      </c>
      <c r="Z309" s="32">
        <f t="shared" si="166"/>
        <v>2600</v>
      </c>
      <c r="AA309" s="34" t="s">
        <v>384</v>
      </c>
      <c r="AB309" s="127" t="s">
        <v>599</v>
      </c>
    </row>
    <row r="310" spans="1:28" ht="15" customHeight="1" x14ac:dyDescent="0.35">
      <c r="A310" s="264"/>
      <c r="B310" s="265"/>
      <c r="C310" s="265"/>
      <c r="D310" s="70" t="s">
        <v>17</v>
      </c>
      <c r="E310" s="50" t="s">
        <v>34</v>
      </c>
      <c r="F310" s="71" t="s">
        <v>53</v>
      </c>
      <c r="G310" s="27" t="s">
        <v>86</v>
      </c>
      <c r="H310" s="27">
        <v>4</v>
      </c>
      <c r="I310" s="45">
        <v>25000</v>
      </c>
      <c r="J310" s="45">
        <v>100000</v>
      </c>
      <c r="K310" s="45">
        <v>0</v>
      </c>
      <c r="L310" s="45"/>
      <c r="M310" s="45"/>
      <c r="N310" s="45"/>
      <c r="O310" s="45"/>
      <c r="P310" s="118">
        <v>100000</v>
      </c>
      <c r="Q310" s="126">
        <v>0</v>
      </c>
      <c r="R310" s="32">
        <f t="shared" si="163"/>
        <v>0</v>
      </c>
      <c r="S310" s="60">
        <f t="shared" si="164"/>
        <v>100000</v>
      </c>
      <c r="T310" s="60"/>
      <c r="U310" s="32">
        <f t="shared" si="165"/>
        <v>100000</v>
      </c>
      <c r="V310" s="32"/>
      <c r="W310" s="126"/>
      <c r="X310" s="60">
        <v>70000</v>
      </c>
      <c r="Y310" s="60">
        <v>30000</v>
      </c>
      <c r="Z310" s="32">
        <f t="shared" si="166"/>
        <v>0</v>
      </c>
      <c r="AA310" s="34" t="s">
        <v>385</v>
      </c>
      <c r="AB310" s="127" t="s">
        <v>600</v>
      </c>
    </row>
    <row r="311" spans="1:28" ht="15" customHeight="1" x14ac:dyDescent="0.35">
      <c r="A311" s="264"/>
      <c r="B311" s="70"/>
      <c r="C311" s="73"/>
      <c r="D311" s="73"/>
      <c r="E311" s="53"/>
      <c r="F311" s="74"/>
      <c r="G311" s="41"/>
      <c r="H311" s="41"/>
      <c r="I311" s="54"/>
      <c r="J311" s="54">
        <f>SUM(J293:J310)</f>
        <v>1092250</v>
      </c>
      <c r="K311" s="54">
        <f>SUM(K293:K310)</f>
        <v>20000</v>
      </c>
      <c r="L311" s="54">
        <f>SUM(L293:L310)</f>
        <v>0</v>
      </c>
      <c r="M311" s="54">
        <v>0</v>
      </c>
      <c r="N311" s="54">
        <v>0</v>
      </c>
      <c r="O311" s="54">
        <v>177981.77999999997</v>
      </c>
      <c r="P311" s="54">
        <f>SUM(P293:P310)</f>
        <v>914268.22</v>
      </c>
      <c r="Q311" s="54">
        <f>SUM(Q293:Q310)</f>
        <v>150596.03</v>
      </c>
      <c r="R311" s="54">
        <f t="shared" ref="R311" si="167">SUM(R293:R310)</f>
        <v>328577.80999999994</v>
      </c>
      <c r="S311" s="54">
        <f>SUM(S293:S310)</f>
        <v>585690.41</v>
      </c>
      <c r="T311" s="54">
        <f>SUM(T293:T310)</f>
        <v>0</v>
      </c>
      <c r="U311" s="54">
        <f>SUM(U293:U310)</f>
        <v>763672.19000000006</v>
      </c>
      <c r="V311" s="54">
        <f>SUM(V293:V310)</f>
        <v>41000</v>
      </c>
      <c r="W311" s="54">
        <f>SUM(W293:W310)</f>
        <v>82400</v>
      </c>
      <c r="X311" s="54">
        <f t="shared" ref="X311:Z311" si="168">SUM(X293:X310)</f>
        <v>252576.38</v>
      </c>
      <c r="Y311" s="54">
        <f t="shared" si="168"/>
        <v>204902.55</v>
      </c>
      <c r="Z311" s="54">
        <f t="shared" si="168"/>
        <v>223793.26</v>
      </c>
      <c r="AA311" s="49"/>
      <c r="AB311" s="237"/>
    </row>
    <row r="312" spans="1:28" ht="15" customHeight="1" x14ac:dyDescent="0.35">
      <c r="A312" s="264"/>
      <c r="B312" s="268" t="s">
        <v>386</v>
      </c>
      <c r="C312" s="268" t="s">
        <v>387</v>
      </c>
      <c r="D312" s="77" t="s">
        <v>17</v>
      </c>
      <c r="E312" s="50" t="s">
        <v>104</v>
      </c>
      <c r="F312" s="71" t="s">
        <v>28</v>
      </c>
      <c r="G312" s="27" t="s">
        <v>29</v>
      </c>
      <c r="H312" s="78" t="s">
        <v>388</v>
      </c>
      <c r="I312" s="45">
        <v>7000</v>
      </c>
      <c r="J312" s="45">
        <v>100000</v>
      </c>
      <c r="K312" s="45">
        <v>0</v>
      </c>
      <c r="L312" s="45">
        <v>0</v>
      </c>
      <c r="M312" s="45">
        <v>32882.51</v>
      </c>
      <c r="N312" s="45">
        <v>24238.142188643644</v>
      </c>
      <c r="O312" s="45">
        <v>29328.768679991634</v>
      </c>
      <c r="P312" s="118">
        <v>13550.579131364721</v>
      </c>
      <c r="Q312" s="126">
        <v>13550.58</v>
      </c>
      <c r="R312" s="32">
        <f t="shared" ref="R312:R318" si="169">L312+M312+N312+O312+Q312</f>
        <v>100000.00086863528</v>
      </c>
      <c r="S312" s="60">
        <f t="shared" ref="S312:S318" si="170">P312-R312</f>
        <v>-86449.421737270561</v>
      </c>
      <c r="T312" s="60"/>
      <c r="U312" s="32">
        <f t="shared" ref="U312:U318" si="171">P312-Q312</f>
        <v>-8.6863527940295171E-4</v>
      </c>
      <c r="V312" s="32"/>
      <c r="W312" s="126">
        <v>0</v>
      </c>
      <c r="X312" s="60"/>
      <c r="Y312" s="60"/>
      <c r="Z312" s="32">
        <f t="shared" ref="Z312:Z318" si="172">U312-(W312+X312+Y312)</f>
        <v>-8.6863527940295171E-4</v>
      </c>
      <c r="AA312" s="34" t="s">
        <v>389</v>
      </c>
      <c r="AB312" s="235"/>
    </row>
    <row r="313" spans="1:28" ht="15" customHeight="1" x14ac:dyDescent="0.35">
      <c r="A313" s="264"/>
      <c r="B313" s="268"/>
      <c r="C313" s="268"/>
      <c r="D313" s="77" t="s">
        <v>31</v>
      </c>
      <c r="E313" s="50" t="s">
        <v>104</v>
      </c>
      <c r="F313" s="71" t="s">
        <v>28</v>
      </c>
      <c r="G313" s="27" t="s">
        <v>29</v>
      </c>
      <c r="H313" s="27">
        <v>14.29</v>
      </c>
      <c r="I313" s="45">
        <f>20000/14.29</f>
        <v>1399.5801259622115</v>
      </c>
      <c r="J313" s="45">
        <v>0</v>
      </c>
      <c r="K313" s="45">
        <v>20000</v>
      </c>
      <c r="L313" s="45"/>
      <c r="M313" s="45"/>
      <c r="N313" s="45"/>
      <c r="O313" s="45">
        <v>0</v>
      </c>
      <c r="P313" s="118">
        <v>0</v>
      </c>
      <c r="Q313" s="126">
        <v>0</v>
      </c>
      <c r="R313" s="32">
        <f t="shared" si="169"/>
        <v>0</v>
      </c>
      <c r="S313" s="60">
        <f t="shared" si="170"/>
        <v>0</v>
      </c>
      <c r="T313" s="60"/>
      <c r="U313" s="32">
        <f t="shared" si="171"/>
        <v>0</v>
      </c>
      <c r="V313" s="32"/>
      <c r="W313" s="126">
        <v>0</v>
      </c>
      <c r="X313" s="60"/>
      <c r="Y313" s="60"/>
      <c r="Z313" s="32">
        <f t="shared" si="172"/>
        <v>0</v>
      </c>
      <c r="AA313" s="34" t="s">
        <v>390</v>
      </c>
      <c r="AB313" s="127"/>
    </row>
    <row r="314" spans="1:28" ht="15" customHeight="1" x14ac:dyDescent="0.35">
      <c r="A314" s="264"/>
      <c r="B314" s="268"/>
      <c r="C314" s="268"/>
      <c r="D314" s="77" t="s">
        <v>17</v>
      </c>
      <c r="E314" s="50" t="s">
        <v>104</v>
      </c>
      <c r="F314" s="71" t="s">
        <v>36</v>
      </c>
      <c r="G314" s="27" t="s">
        <v>55</v>
      </c>
      <c r="H314" s="27">
        <v>5</v>
      </c>
      <c r="I314" s="45">
        <v>3750</v>
      </c>
      <c r="J314" s="45">
        <v>20000</v>
      </c>
      <c r="K314" s="45">
        <v>0</v>
      </c>
      <c r="L314" s="45">
        <v>0</v>
      </c>
      <c r="M314" s="45">
        <v>1881.07</v>
      </c>
      <c r="N314" s="45">
        <v>1055.071902545455</v>
      </c>
      <c r="O314" s="45">
        <v>0</v>
      </c>
      <c r="P314" s="118">
        <v>17063.858097454544</v>
      </c>
      <c r="Q314" s="126">
        <v>17063.86</v>
      </c>
      <c r="R314" s="32">
        <f t="shared" si="169"/>
        <v>20000.001902545457</v>
      </c>
      <c r="S314" s="60">
        <f t="shared" si="170"/>
        <v>-2936.1438050909128</v>
      </c>
      <c r="T314" s="60"/>
      <c r="U314" s="32">
        <f t="shared" si="171"/>
        <v>-1.9025454566872213E-3</v>
      </c>
      <c r="V314" s="32"/>
      <c r="W314" s="126">
        <v>0</v>
      </c>
      <c r="X314" s="60"/>
      <c r="Y314" s="60"/>
      <c r="Z314" s="32">
        <f t="shared" si="172"/>
        <v>-1.9025454566872213E-3</v>
      </c>
      <c r="AA314" s="34" t="s">
        <v>391</v>
      </c>
      <c r="AB314" s="127"/>
    </row>
    <row r="315" spans="1:28" ht="15" customHeight="1" x14ac:dyDescent="0.35">
      <c r="A315" s="264"/>
      <c r="B315" s="268"/>
      <c r="C315" s="268"/>
      <c r="D315" s="77" t="s">
        <v>17</v>
      </c>
      <c r="E315" s="50" t="s">
        <v>104</v>
      </c>
      <c r="F315" s="71" t="s">
        <v>28</v>
      </c>
      <c r="G315" s="27" t="s">
        <v>29</v>
      </c>
      <c r="H315" s="78" t="s">
        <v>392</v>
      </c>
      <c r="I315" s="45">
        <f>100000/12</f>
        <v>8333.3333333333339</v>
      </c>
      <c r="J315" s="45">
        <v>100000</v>
      </c>
      <c r="K315" s="45">
        <v>0</v>
      </c>
      <c r="L315" s="45">
        <v>0</v>
      </c>
      <c r="M315" s="45">
        <v>4384.68</v>
      </c>
      <c r="N315" s="45">
        <v>312.18799603636398</v>
      </c>
      <c r="O315" s="45">
        <v>-1.4743999999999988E-3</v>
      </c>
      <c r="P315" s="118">
        <v>95303.133478363641</v>
      </c>
      <c r="Q315" s="126">
        <v>95303.13</v>
      </c>
      <c r="R315" s="32">
        <f t="shared" si="169"/>
        <v>99999.996521636363</v>
      </c>
      <c r="S315" s="60">
        <f t="shared" si="170"/>
        <v>-4696.8630432727223</v>
      </c>
      <c r="T315" s="60"/>
      <c r="U315" s="32">
        <f t="shared" si="171"/>
        <v>3.4783636365318671E-3</v>
      </c>
      <c r="V315" s="32"/>
      <c r="W315" s="126">
        <v>0</v>
      </c>
      <c r="X315" s="60"/>
      <c r="Y315" s="60"/>
      <c r="Z315" s="32">
        <f t="shared" si="172"/>
        <v>3.4783636365318671E-3</v>
      </c>
      <c r="AA315" s="34" t="s">
        <v>393</v>
      </c>
      <c r="AB315" s="127"/>
    </row>
    <row r="316" spans="1:28" ht="15" customHeight="1" x14ac:dyDescent="0.35">
      <c r="A316" s="264"/>
      <c r="B316" s="268"/>
      <c r="C316" s="268"/>
      <c r="D316" s="77" t="s">
        <v>31</v>
      </c>
      <c r="E316" s="50" t="s">
        <v>104</v>
      </c>
      <c r="F316" s="71" t="s">
        <v>28</v>
      </c>
      <c r="G316" s="27" t="s">
        <v>29</v>
      </c>
      <c r="H316" s="27">
        <v>12</v>
      </c>
      <c r="I316" s="45">
        <f>20000/12</f>
        <v>1666.6666666666667</v>
      </c>
      <c r="J316" s="45">
        <v>0</v>
      </c>
      <c r="K316" s="45">
        <v>20000</v>
      </c>
      <c r="L316" s="45"/>
      <c r="M316" s="45"/>
      <c r="N316" s="45"/>
      <c r="O316" s="45">
        <v>0</v>
      </c>
      <c r="P316" s="118">
        <v>0</v>
      </c>
      <c r="Q316" s="126">
        <v>0</v>
      </c>
      <c r="R316" s="32">
        <f t="shared" si="169"/>
        <v>0</v>
      </c>
      <c r="S316" s="60">
        <f t="shared" si="170"/>
        <v>0</v>
      </c>
      <c r="T316" s="60"/>
      <c r="U316" s="32">
        <f t="shared" si="171"/>
        <v>0</v>
      </c>
      <c r="V316" s="32"/>
      <c r="W316" s="126">
        <v>0</v>
      </c>
      <c r="X316" s="60"/>
      <c r="Y316" s="60"/>
      <c r="Z316" s="32">
        <f t="shared" si="172"/>
        <v>0</v>
      </c>
      <c r="AA316" s="34" t="s">
        <v>394</v>
      </c>
      <c r="AB316" s="127"/>
    </row>
    <row r="317" spans="1:28" ht="15" customHeight="1" x14ac:dyDescent="0.35">
      <c r="A317" s="264"/>
      <c r="B317" s="268"/>
      <c r="C317" s="268"/>
      <c r="D317" s="77" t="s">
        <v>33</v>
      </c>
      <c r="E317" s="50" t="s">
        <v>34</v>
      </c>
      <c r="F317" s="71" t="s">
        <v>28</v>
      </c>
      <c r="G317" s="27" t="s">
        <v>29</v>
      </c>
      <c r="H317" s="27">
        <v>3</v>
      </c>
      <c r="I317" s="45">
        <f>8000/3</f>
        <v>2666.6666666666665</v>
      </c>
      <c r="J317" s="45">
        <v>0</v>
      </c>
      <c r="K317" s="45">
        <v>8000</v>
      </c>
      <c r="L317" s="45"/>
      <c r="M317" s="45"/>
      <c r="N317" s="45"/>
      <c r="O317" s="45">
        <v>0</v>
      </c>
      <c r="P317" s="118">
        <v>0</v>
      </c>
      <c r="Q317" s="126">
        <v>6163.8742502469686</v>
      </c>
      <c r="R317" s="32">
        <f t="shared" si="169"/>
        <v>6163.8742502469686</v>
      </c>
      <c r="S317" s="60">
        <f t="shared" si="170"/>
        <v>-6163.8742502469686</v>
      </c>
      <c r="T317" s="60"/>
      <c r="U317" s="32">
        <f t="shared" si="171"/>
        <v>-6163.8742502469686</v>
      </c>
      <c r="V317" s="32"/>
      <c r="W317" s="126">
        <v>0</v>
      </c>
      <c r="X317" s="60"/>
      <c r="Y317" s="60"/>
      <c r="Z317" s="32">
        <f t="shared" si="172"/>
        <v>-6163.8742502469686</v>
      </c>
      <c r="AA317" s="34" t="s">
        <v>395</v>
      </c>
      <c r="AB317" s="127"/>
    </row>
    <row r="318" spans="1:28" ht="15" customHeight="1" x14ac:dyDescent="0.35">
      <c r="A318" s="264"/>
      <c r="B318" s="268"/>
      <c r="C318" s="268"/>
      <c r="D318" s="77" t="s">
        <v>17</v>
      </c>
      <c r="E318" s="50" t="s">
        <v>104</v>
      </c>
      <c r="F318" s="71" t="s">
        <v>36</v>
      </c>
      <c r="G318" s="27" t="s">
        <v>55</v>
      </c>
      <c r="H318" s="27">
        <v>3</v>
      </c>
      <c r="I318" s="45">
        <v>3750</v>
      </c>
      <c r="J318" s="45">
        <v>11250</v>
      </c>
      <c r="K318" s="45">
        <v>0</v>
      </c>
      <c r="L318" s="45">
        <v>0</v>
      </c>
      <c r="M318" s="45">
        <v>1881.07</v>
      </c>
      <c r="N318" s="45">
        <v>1055.071902545455</v>
      </c>
      <c r="O318" s="45">
        <v>0</v>
      </c>
      <c r="P318" s="118">
        <v>8313.8580974545439</v>
      </c>
      <c r="Q318" s="126">
        <v>8313.86</v>
      </c>
      <c r="R318" s="32">
        <f t="shared" si="169"/>
        <v>11250.001902545457</v>
      </c>
      <c r="S318" s="60">
        <f t="shared" si="170"/>
        <v>-2936.1438050909128</v>
      </c>
      <c r="T318" s="60"/>
      <c r="U318" s="32">
        <f t="shared" si="171"/>
        <v>-1.9025454566872213E-3</v>
      </c>
      <c r="V318" s="32"/>
      <c r="W318" s="126">
        <v>0</v>
      </c>
      <c r="X318" s="60"/>
      <c r="Y318" s="60"/>
      <c r="Z318" s="32">
        <f t="shared" si="172"/>
        <v>-1.9025454566872213E-3</v>
      </c>
      <c r="AA318" s="34" t="s">
        <v>396</v>
      </c>
      <c r="AB318" s="127"/>
    </row>
    <row r="319" spans="1:28" ht="15" customHeight="1" x14ac:dyDescent="0.35">
      <c r="A319" s="264"/>
      <c r="B319" s="50"/>
      <c r="C319" s="53"/>
      <c r="D319" s="79"/>
      <c r="E319" s="53"/>
      <c r="F319" s="74"/>
      <c r="G319" s="41"/>
      <c r="H319" s="41"/>
      <c r="I319" s="54"/>
      <c r="J319" s="54">
        <f>SUM(J312:J318)</f>
        <v>231250</v>
      </c>
      <c r="K319" s="54">
        <f t="shared" ref="K319:L319" si="173">SUM(K312:K318)</f>
        <v>48000</v>
      </c>
      <c r="L319" s="54">
        <f t="shared" si="173"/>
        <v>0</v>
      </c>
      <c r="M319" s="54">
        <v>41029.33</v>
      </c>
      <c r="N319" s="54">
        <v>26660.473989770919</v>
      </c>
      <c r="O319" s="54">
        <v>29328.767205591634</v>
      </c>
      <c r="P319" s="54">
        <f>SUM(P312:P318)</f>
        <v>134231.42880463746</v>
      </c>
      <c r="Q319" s="54">
        <f t="shared" ref="Q319:Z319" si="174">SUM(Q312:Q318)</f>
        <v>140395.30425024696</v>
      </c>
      <c r="R319" s="54">
        <f t="shared" si="174"/>
        <v>237413.8754456095</v>
      </c>
      <c r="S319" s="54">
        <f t="shared" si="174"/>
        <v>-103182.44664097208</v>
      </c>
      <c r="T319" s="54">
        <f t="shared" si="174"/>
        <v>0</v>
      </c>
      <c r="U319" s="54">
        <f t="shared" si="174"/>
        <v>-6163.8754456095248</v>
      </c>
      <c r="V319" s="54">
        <f t="shared" si="174"/>
        <v>0</v>
      </c>
      <c r="W319" s="54">
        <f t="shared" si="174"/>
        <v>0</v>
      </c>
      <c r="X319" s="54">
        <f t="shared" si="174"/>
        <v>0</v>
      </c>
      <c r="Y319" s="54">
        <f t="shared" si="174"/>
        <v>0</v>
      </c>
      <c r="Z319" s="54">
        <f t="shared" si="174"/>
        <v>-6163.8754456095248</v>
      </c>
      <c r="AA319" s="49"/>
      <c r="AB319" s="128"/>
    </row>
    <row r="320" spans="1:28" ht="15" customHeight="1" x14ac:dyDescent="0.35">
      <c r="A320" s="264"/>
      <c r="B320" s="50"/>
      <c r="C320" s="50" t="s">
        <v>275</v>
      </c>
      <c r="D320" s="77" t="s">
        <v>17</v>
      </c>
      <c r="E320" s="50"/>
      <c r="F320" s="71" t="s">
        <v>275</v>
      </c>
      <c r="G320" s="27" t="s">
        <v>86</v>
      </c>
      <c r="H320" s="27">
        <v>1</v>
      </c>
      <c r="I320" s="45">
        <v>29170</v>
      </c>
      <c r="J320" s="45">
        <v>29170</v>
      </c>
      <c r="K320" s="45">
        <v>0</v>
      </c>
      <c r="L320" s="45"/>
      <c r="M320" s="45"/>
      <c r="N320" s="45"/>
      <c r="O320" s="45"/>
      <c r="P320" s="118">
        <v>29170</v>
      </c>
      <c r="Q320" s="126">
        <v>0</v>
      </c>
      <c r="R320" s="32">
        <f t="shared" ref="R320" si="175">L320+M320+N320+O320+Q320</f>
        <v>0</v>
      </c>
      <c r="S320" s="60">
        <f>P320-R320</f>
        <v>29170</v>
      </c>
      <c r="T320" s="60"/>
      <c r="U320" s="32">
        <f t="shared" ref="U320" si="176">P320-Q320</f>
        <v>29170</v>
      </c>
      <c r="V320" s="32"/>
      <c r="W320" s="126">
        <v>0</v>
      </c>
      <c r="X320" s="60"/>
      <c r="Y320" s="60"/>
      <c r="Z320" s="32"/>
      <c r="AA320" s="34" t="s">
        <v>397</v>
      </c>
      <c r="AB320" s="149" t="s">
        <v>2</v>
      </c>
    </row>
    <row r="321" spans="1:29" ht="15" customHeight="1" x14ac:dyDescent="0.35">
      <c r="A321" s="257" t="s">
        <v>277</v>
      </c>
      <c r="B321" s="257"/>
      <c r="C321" s="257"/>
      <c r="D321" s="257"/>
      <c r="E321" s="257"/>
      <c r="F321" s="257"/>
      <c r="G321" s="257"/>
      <c r="H321" s="257"/>
      <c r="I321" s="257"/>
      <c r="J321" s="69">
        <f>J236+J246+J261+J275+J287+J292+J311+J319+J320</f>
        <v>3221530</v>
      </c>
      <c r="K321" s="69">
        <f>K236+K246+K261+K275+K287+K292+K311+K319+K320</f>
        <v>251300</v>
      </c>
      <c r="L321" s="69">
        <f>L236+L246+L261+L275+L287+L292+L311+L319+L320</f>
        <v>0</v>
      </c>
      <c r="M321" s="69">
        <v>226403.62</v>
      </c>
      <c r="N321" s="69">
        <v>140748.53398977092</v>
      </c>
      <c r="O321" s="69">
        <v>442263.04720559157</v>
      </c>
      <c r="P321" s="69">
        <f t="shared" ref="P321:Z321" si="177">P236+P246+P261+P275+P287+P292+P311+P319+P320</f>
        <v>2412114.7988046375</v>
      </c>
      <c r="Q321" s="69">
        <f>Q236+Q246+Q261+Q275+Q287+Q292+Q311+Q319+Q320</f>
        <v>504063.96425024699</v>
      </c>
      <c r="R321" s="69">
        <f t="shared" si="177"/>
        <v>1313479.1654456093</v>
      </c>
      <c r="S321" s="69">
        <f t="shared" si="177"/>
        <v>1098635.633359028</v>
      </c>
      <c r="T321" s="69">
        <f t="shared" si="177"/>
        <v>229095.86000000004</v>
      </c>
      <c r="U321" s="69">
        <f t="shared" si="177"/>
        <v>1908050.8345543905</v>
      </c>
      <c r="V321" s="69">
        <f t="shared" si="177"/>
        <v>286055.65500000003</v>
      </c>
      <c r="W321" s="69">
        <f t="shared" si="177"/>
        <v>251590.2</v>
      </c>
      <c r="X321" s="69">
        <f t="shared" si="177"/>
        <v>688855.23</v>
      </c>
      <c r="Y321" s="69">
        <f t="shared" si="177"/>
        <v>463185.70999999996</v>
      </c>
      <c r="Z321" s="69">
        <f t="shared" si="177"/>
        <v>475249.69455439044</v>
      </c>
      <c r="AA321" s="69"/>
      <c r="AB321" s="140"/>
      <c r="AC321" s="247">
        <f>Z321/J321</f>
        <v>0.14752297652183605</v>
      </c>
    </row>
    <row r="322" spans="1:29" ht="36" customHeight="1" x14ac:dyDescent="0.35">
      <c r="A322" s="264" t="s">
        <v>398</v>
      </c>
      <c r="B322" s="268" t="s">
        <v>399</v>
      </c>
      <c r="C322" s="268" t="s">
        <v>400</v>
      </c>
      <c r="D322" s="50" t="s">
        <v>17</v>
      </c>
      <c r="E322" s="50" t="s">
        <v>34</v>
      </c>
      <c r="F322" s="71" t="s">
        <v>28</v>
      </c>
      <c r="G322" s="27" t="s">
        <v>29</v>
      </c>
      <c r="H322" s="27">
        <v>54</v>
      </c>
      <c r="I322" s="45">
        <v>16000</v>
      </c>
      <c r="J322" s="45">
        <v>82734</v>
      </c>
      <c r="K322" s="45">
        <v>0</v>
      </c>
      <c r="L322" s="45">
        <v>0</v>
      </c>
      <c r="M322" s="45">
        <v>12723.91</v>
      </c>
      <c r="N322" s="45">
        <v>14077.54</v>
      </c>
      <c r="O322" s="45">
        <v>14077.54</v>
      </c>
      <c r="P322" s="118">
        <v>41855.009999999995</v>
      </c>
      <c r="Q322" s="126">
        <v>14046.76</v>
      </c>
      <c r="R322" s="32">
        <f t="shared" ref="R322:R347" si="178">L322+M322+N322+O322+Q322</f>
        <v>54925.750000000007</v>
      </c>
      <c r="S322" s="60">
        <f t="shared" ref="S322:S347" si="179">P322-R322</f>
        <v>-13070.740000000013</v>
      </c>
      <c r="T322" s="60"/>
      <c r="U322" s="32">
        <f t="shared" ref="U322:U347" si="180">P322-Q322</f>
        <v>27808.249999999993</v>
      </c>
      <c r="V322" s="32">
        <v>10666.66</v>
      </c>
      <c r="W322" s="126">
        <f>16000-V322</f>
        <v>5333.34</v>
      </c>
      <c r="X322" s="60">
        <v>16000</v>
      </c>
      <c r="Y322" s="60">
        <v>16000</v>
      </c>
      <c r="Z322" s="32">
        <f t="shared" ref="Z322:Z347" si="181">U322-(W322+X322+Y322)</f>
        <v>-9525.0900000000038</v>
      </c>
      <c r="AA322" s="34" t="s">
        <v>401</v>
      </c>
      <c r="AB322" s="288" t="s">
        <v>1112</v>
      </c>
    </row>
    <row r="323" spans="1:29" ht="36" customHeight="1" x14ac:dyDescent="0.35">
      <c r="A323" s="264"/>
      <c r="B323" s="268"/>
      <c r="C323" s="268"/>
      <c r="D323" s="50" t="s">
        <v>17</v>
      </c>
      <c r="E323" s="50" t="s">
        <v>34</v>
      </c>
      <c r="F323" s="71" t="s">
        <v>28</v>
      </c>
      <c r="G323" s="27" t="s">
        <v>29</v>
      </c>
      <c r="H323" s="27">
        <v>48</v>
      </c>
      <c r="I323" s="45">
        <v>16000</v>
      </c>
      <c r="J323" s="45">
        <v>73493</v>
      </c>
      <c r="K323" s="45">
        <v>0</v>
      </c>
      <c r="L323" s="45"/>
      <c r="M323" s="45"/>
      <c r="N323" s="45"/>
      <c r="O323" s="45">
        <v>0</v>
      </c>
      <c r="P323" s="118">
        <v>73493</v>
      </c>
      <c r="Q323" s="126">
        <v>14939.229999999998</v>
      </c>
      <c r="R323" s="32">
        <f t="shared" si="178"/>
        <v>14939.229999999998</v>
      </c>
      <c r="S323" s="60">
        <f t="shared" si="179"/>
        <v>58553.770000000004</v>
      </c>
      <c r="T323" s="60"/>
      <c r="U323" s="32">
        <f t="shared" si="180"/>
        <v>58553.770000000004</v>
      </c>
      <c r="V323" s="32">
        <v>10666.66</v>
      </c>
      <c r="W323" s="126">
        <f>16000-V323</f>
        <v>5333.34</v>
      </c>
      <c r="X323" s="60">
        <v>16000</v>
      </c>
      <c r="Y323" s="60">
        <v>16000</v>
      </c>
      <c r="Z323" s="32">
        <f t="shared" si="181"/>
        <v>21220.430000000008</v>
      </c>
      <c r="AA323" s="34" t="s">
        <v>402</v>
      </c>
      <c r="AB323" s="289"/>
    </row>
    <row r="324" spans="1:29" ht="36" customHeight="1" x14ac:dyDescent="0.35">
      <c r="A324" s="264"/>
      <c r="B324" s="268"/>
      <c r="C324" s="268"/>
      <c r="D324" s="50" t="s">
        <v>33</v>
      </c>
      <c r="E324" s="50" t="s">
        <v>34</v>
      </c>
      <c r="F324" s="71" t="s">
        <v>28</v>
      </c>
      <c r="G324" s="27" t="s">
        <v>29</v>
      </c>
      <c r="H324" s="27">
        <v>1</v>
      </c>
      <c r="I324" s="45">
        <v>2000</v>
      </c>
      <c r="J324" s="45">
        <v>0</v>
      </c>
      <c r="K324" s="45">
        <v>2000</v>
      </c>
      <c r="L324" s="45"/>
      <c r="M324" s="45"/>
      <c r="N324" s="45"/>
      <c r="O324" s="45">
        <v>0</v>
      </c>
      <c r="P324" s="118">
        <v>0</v>
      </c>
      <c r="Q324" s="126">
        <v>0</v>
      </c>
      <c r="R324" s="32">
        <f t="shared" si="178"/>
        <v>0</v>
      </c>
      <c r="S324" s="60">
        <f t="shared" si="179"/>
        <v>0</v>
      </c>
      <c r="T324" s="60"/>
      <c r="U324" s="32">
        <f t="shared" si="180"/>
        <v>0</v>
      </c>
      <c r="V324" s="32"/>
      <c r="W324" s="126"/>
      <c r="X324" s="60"/>
      <c r="Y324" s="60"/>
      <c r="Z324" s="32">
        <f t="shared" si="181"/>
        <v>0</v>
      </c>
      <c r="AA324" s="34" t="s">
        <v>403</v>
      </c>
      <c r="AB324" s="290"/>
    </row>
    <row r="325" spans="1:29" ht="15" customHeight="1" x14ac:dyDescent="0.35">
      <c r="A325" s="264"/>
      <c r="B325" s="268"/>
      <c r="C325" s="268"/>
      <c r="D325" s="50" t="s">
        <v>17</v>
      </c>
      <c r="E325" s="50" t="s">
        <v>27</v>
      </c>
      <c r="F325" s="71" t="s">
        <v>28</v>
      </c>
      <c r="G325" s="27" t="s">
        <v>29</v>
      </c>
      <c r="H325" s="27">
        <v>8</v>
      </c>
      <c r="I325" s="45">
        <v>3000</v>
      </c>
      <c r="J325" s="45">
        <v>60000</v>
      </c>
      <c r="K325" s="45">
        <v>0</v>
      </c>
      <c r="L325" s="45"/>
      <c r="M325" s="45"/>
      <c r="N325" s="45"/>
      <c r="O325" s="45">
        <v>0</v>
      </c>
      <c r="P325" s="118">
        <v>60000</v>
      </c>
      <c r="Q325" s="126">
        <v>30000</v>
      </c>
      <c r="R325" s="32">
        <f t="shared" si="178"/>
        <v>30000</v>
      </c>
      <c r="S325" s="60">
        <f t="shared" si="179"/>
        <v>30000</v>
      </c>
      <c r="T325" s="60"/>
      <c r="U325" s="32">
        <f t="shared" si="180"/>
        <v>30000</v>
      </c>
      <c r="V325" s="32">
        <v>22500</v>
      </c>
      <c r="W325" s="126">
        <f>30000-V325</f>
        <v>7500</v>
      </c>
      <c r="X325" s="60"/>
      <c r="Y325" s="60"/>
      <c r="Z325" s="32">
        <f t="shared" si="181"/>
        <v>22500</v>
      </c>
      <c r="AA325" s="34" t="s">
        <v>404</v>
      </c>
      <c r="AB325" s="127"/>
    </row>
    <row r="326" spans="1:29" ht="15" customHeight="1" x14ac:dyDescent="0.35">
      <c r="A326" s="264"/>
      <c r="B326" s="268"/>
      <c r="C326" s="268"/>
      <c r="D326" s="50" t="s">
        <v>31</v>
      </c>
      <c r="E326" s="50" t="s">
        <v>27</v>
      </c>
      <c r="F326" s="71" t="s">
        <v>28</v>
      </c>
      <c r="G326" s="27" t="s">
        <v>29</v>
      </c>
      <c r="H326" s="27">
        <v>8</v>
      </c>
      <c r="I326" s="45">
        <f>12000/8</f>
        <v>1500</v>
      </c>
      <c r="J326" s="45">
        <v>0</v>
      </c>
      <c r="K326" s="45">
        <v>12000</v>
      </c>
      <c r="L326" s="45"/>
      <c r="M326" s="45"/>
      <c r="N326" s="45"/>
      <c r="O326" s="45">
        <v>0</v>
      </c>
      <c r="P326" s="118">
        <v>0</v>
      </c>
      <c r="Q326" s="126">
        <v>0</v>
      </c>
      <c r="R326" s="32">
        <f t="shared" si="178"/>
        <v>0</v>
      </c>
      <c r="S326" s="60">
        <f t="shared" si="179"/>
        <v>0</v>
      </c>
      <c r="T326" s="60"/>
      <c r="U326" s="32">
        <f t="shared" si="180"/>
        <v>0</v>
      </c>
      <c r="V326" s="32"/>
      <c r="W326" s="126"/>
      <c r="X326" s="60"/>
      <c r="Y326" s="60"/>
      <c r="Z326" s="32">
        <f t="shared" si="181"/>
        <v>0</v>
      </c>
      <c r="AA326" s="34" t="s">
        <v>405</v>
      </c>
      <c r="AB326" s="127"/>
    </row>
    <row r="327" spans="1:29" ht="15" customHeight="1" x14ac:dyDescent="0.35">
      <c r="A327" s="264"/>
      <c r="B327" s="268"/>
      <c r="C327" s="268"/>
      <c r="D327" s="50" t="s">
        <v>33</v>
      </c>
      <c r="E327" s="50" t="s">
        <v>34</v>
      </c>
      <c r="F327" s="71" t="s">
        <v>28</v>
      </c>
      <c r="G327" s="27" t="s">
        <v>29</v>
      </c>
      <c r="H327" s="27">
        <v>0.5</v>
      </c>
      <c r="I327" s="45">
        <v>1400</v>
      </c>
      <c r="J327" s="45">
        <v>0</v>
      </c>
      <c r="K327" s="45">
        <v>1400</v>
      </c>
      <c r="L327" s="45"/>
      <c r="M327" s="45"/>
      <c r="N327" s="45"/>
      <c r="O327" s="45">
        <v>0</v>
      </c>
      <c r="P327" s="118">
        <v>0</v>
      </c>
      <c r="Q327" s="126">
        <v>0</v>
      </c>
      <c r="R327" s="32">
        <f t="shared" si="178"/>
        <v>0</v>
      </c>
      <c r="S327" s="60">
        <f t="shared" si="179"/>
        <v>0</v>
      </c>
      <c r="T327" s="60"/>
      <c r="U327" s="32">
        <f t="shared" si="180"/>
        <v>0</v>
      </c>
      <c r="V327" s="32"/>
      <c r="W327" s="126"/>
      <c r="X327" s="60"/>
      <c r="Y327" s="60"/>
      <c r="Z327" s="32">
        <f t="shared" si="181"/>
        <v>0</v>
      </c>
      <c r="AA327" s="34" t="s">
        <v>406</v>
      </c>
      <c r="AB327" s="127"/>
    </row>
    <row r="328" spans="1:29" ht="15" customHeight="1" x14ac:dyDescent="0.35">
      <c r="A328" s="264"/>
      <c r="B328" s="268"/>
      <c r="C328" s="268"/>
      <c r="D328" s="50" t="s">
        <v>17</v>
      </c>
      <c r="E328" s="50" t="s">
        <v>27</v>
      </c>
      <c r="F328" s="71" t="s">
        <v>36</v>
      </c>
      <c r="G328" s="27" t="s">
        <v>55</v>
      </c>
      <c r="H328" s="27">
        <v>6</v>
      </c>
      <c r="I328" s="45">
        <v>3500</v>
      </c>
      <c r="J328" s="45">
        <v>21000</v>
      </c>
      <c r="K328" s="45">
        <v>0</v>
      </c>
      <c r="L328" s="45"/>
      <c r="M328" s="45"/>
      <c r="N328" s="45"/>
      <c r="O328" s="45">
        <v>0</v>
      </c>
      <c r="P328" s="118">
        <v>21000</v>
      </c>
      <c r="Q328" s="126">
        <v>11000</v>
      </c>
      <c r="R328" s="32">
        <f t="shared" si="178"/>
        <v>11000</v>
      </c>
      <c r="S328" s="60">
        <f t="shared" si="179"/>
        <v>10000</v>
      </c>
      <c r="T328" s="60"/>
      <c r="U328" s="32">
        <f t="shared" si="180"/>
        <v>10000</v>
      </c>
      <c r="V328" s="32"/>
      <c r="W328" s="126">
        <v>10000</v>
      </c>
      <c r="X328" s="60"/>
      <c r="Y328" s="60"/>
      <c r="Z328" s="32">
        <f t="shared" si="181"/>
        <v>0</v>
      </c>
      <c r="AA328" s="34" t="s">
        <v>407</v>
      </c>
      <c r="AB328" s="127"/>
    </row>
    <row r="329" spans="1:29" ht="15" customHeight="1" x14ac:dyDescent="0.35">
      <c r="A329" s="264"/>
      <c r="B329" s="268"/>
      <c r="C329" s="268"/>
      <c r="D329" s="50" t="s">
        <v>17</v>
      </c>
      <c r="E329" s="50" t="s">
        <v>27</v>
      </c>
      <c r="F329" s="71" t="s">
        <v>28</v>
      </c>
      <c r="G329" s="27" t="s">
        <v>29</v>
      </c>
      <c r="H329" s="27">
        <v>4</v>
      </c>
      <c r="I329" s="45">
        <f>42800*0.3</f>
        <v>12840</v>
      </c>
      <c r="J329" s="45">
        <v>42800</v>
      </c>
      <c r="K329" s="45">
        <v>0</v>
      </c>
      <c r="L329" s="45"/>
      <c r="M329" s="45"/>
      <c r="N329" s="45"/>
      <c r="O329" s="45">
        <v>0</v>
      </c>
      <c r="P329" s="118">
        <v>42800</v>
      </c>
      <c r="Q329" s="126">
        <v>21400</v>
      </c>
      <c r="R329" s="32">
        <f t="shared" si="178"/>
        <v>21400</v>
      </c>
      <c r="S329" s="60">
        <f t="shared" si="179"/>
        <v>21400</v>
      </c>
      <c r="T329" s="60"/>
      <c r="U329" s="32">
        <f t="shared" si="180"/>
        <v>21400</v>
      </c>
      <c r="V329" s="32"/>
      <c r="W329" s="126">
        <v>21400</v>
      </c>
      <c r="X329" s="60"/>
      <c r="Y329" s="60"/>
      <c r="Z329" s="32">
        <f t="shared" si="181"/>
        <v>0</v>
      </c>
      <c r="AA329" s="34" t="s">
        <v>408</v>
      </c>
      <c r="AB329" s="127"/>
    </row>
    <row r="330" spans="1:29" ht="15" customHeight="1" x14ac:dyDescent="0.35">
      <c r="A330" s="264"/>
      <c r="B330" s="268"/>
      <c r="C330" s="268"/>
      <c r="D330" s="50" t="s">
        <v>31</v>
      </c>
      <c r="E330" s="50" t="s">
        <v>27</v>
      </c>
      <c r="F330" s="71" t="s">
        <v>28</v>
      </c>
      <c r="G330" s="27" t="s">
        <v>29</v>
      </c>
      <c r="H330" s="27">
        <v>4</v>
      </c>
      <c r="I330" s="45">
        <f>9600/4</f>
        <v>2400</v>
      </c>
      <c r="J330" s="45">
        <v>0</v>
      </c>
      <c r="K330" s="45">
        <v>9600</v>
      </c>
      <c r="L330" s="45"/>
      <c r="M330" s="45"/>
      <c r="N330" s="45"/>
      <c r="O330" s="45">
        <v>0</v>
      </c>
      <c r="P330" s="118">
        <v>0</v>
      </c>
      <c r="Q330" s="126">
        <v>0</v>
      </c>
      <c r="R330" s="32">
        <f t="shared" si="178"/>
        <v>0</v>
      </c>
      <c r="S330" s="60">
        <f t="shared" si="179"/>
        <v>0</v>
      </c>
      <c r="T330" s="60"/>
      <c r="U330" s="32">
        <f t="shared" si="180"/>
        <v>0</v>
      </c>
      <c r="V330" s="32"/>
      <c r="W330" s="126"/>
      <c r="X330" s="60"/>
      <c r="Y330" s="60"/>
      <c r="Z330" s="32">
        <f t="shared" si="181"/>
        <v>0</v>
      </c>
      <c r="AA330" s="34" t="s">
        <v>409</v>
      </c>
      <c r="AB330" s="127"/>
    </row>
    <row r="331" spans="1:29" ht="15" customHeight="1" x14ac:dyDescent="0.35">
      <c r="A331" s="264"/>
      <c r="B331" s="268"/>
      <c r="C331" s="268"/>
      <c r="D331" s="50" t="s">
        <v>33</v>
      </c>
      <c r="E331" s="50" t="s">
        <v>34</v>
      </c>
      <c r="F331" s="71" t="s">
        <v>28</v>
      </c>
      <c r="G331" s="27" t="s">
        <v>29</v>
      </c>
      <c r="H331" s="27">
        <v>0.5</v>
      </c>
      <c r="I331" s="45">
        <v>2000</v>
      </c>
      <c r="J331" s="45">
        <v>0</v>
      </c>
      <c r="K331" s="45">
        <v>2000</v>
      </c>
      <c r="L331" s="45"/>
      <c r="M331" s="45"/>
      <c r="N331" s="45"/>
      <c r="O331" s="45">
        <v>0</v>
      </c>
      <c r="P331" s="118">
        <v>0</v>
      </c>
      <c r="Q331" s="126">
        <v>0</v>
      </c>
      <c r="R331" s="32">
        <f t="shared" si="178"/>
        <v>0</v>
      </c>
      <c r="S331" s="60">
        <f t="shared" si="179"/>
        <v>0</v>
      </c>
      <c r="T331" s="60"/>
      <c r="U331" s="32">
        <f t="shared" si="180"/>
        <v>0</v>
      </c>
      <c r="V331" s="32"/>
      <c r="W331" s="126"/>
      <c r="X331" s="60"/>
      <c r="Y331" s="60"/>
      <c r="Z331" s="32">
        <f t="shared" si="181"/>
        <v>0</v>
      </c>
      <c r="AA331" s="34" t="s">
        <v>410</v>
      </c>
      <c r="AB331" s="127"/>
    </row>
    <row r="332" spans="1:29" ht="15" customHeight="1" x14ac:dyDescent="0.35">
      <c r="A332" s="264"/>
      <c r="B332" s="268"/>
      <c r="C332" s="268"/>
      <c r="D332" s="50" t="s">
        <v>17</v>
      </c>
      <c r="E332" s="50" t="s">
        <v>27</v>
      </c>
      <c r="F332" s="71" t="s">
        <v>28</v>
      </c>
      <c r="G332" s="27" t="s">
        <v>29</v>
      </c>
      <c r="H332" s="27">
        <v>36</v>
      </c>
      <c r="I332" s="45">
        <f>120000/36</f>
        <v>3333.3333333333335</v>
      </c>
      <c r="J332" s="45">
        <v>120000</v>
      </c>
      <c r="K332" s="45">
        <v>0</v>
      </c>
      <c r="L332" s="45"/>
      <c r="M332" s="45"/>
      <c r="N332" s="45"/>
      <c r="O332" s="45">
        <v>0</v>
      </c>
      <c r="P332" s="118">
        <v>120000</v>
      </c>
      <c r="Q332" s="126">
        <v>60000</v>
      </c>
      <c r="R332" s="32">
        <f t="shared" si="178"/>
        <v>60000</v>
      </c>
      <c r="S332" s="60">
        <f t="shared" si="179"/>
        <v>60000</v>
      </c>
      <c r="T332" s="60"/>
      <c r="U332" s="32">
        <f t="shared" si="180"/>
        <v>60000</v>
      </c>
      <c r="V332" s="32"/>
      <c r="W332" s="126">
        <f>60000-40603.73</f>
        <v>19396.269999999997</v>
      </c>
      <c r="X332" s="60"/>
      <c r="Y332" s="60"/>
      <c r="Z332" s="32">
        <f t="shared" si="181"/>
        <v>40603.730000000003</v>
      </c>
      <c r="AA332" s="34" t="s">
        <v>411</v>
      </c>
      <c r="AB332" s="127"/>
    </row>
    <row r="333" spans="1:29" ht="15" customHeight="1" x14ac:dyDescent="0.35">
      <c r="A333" s="264"/>
      <c r="B333" s="268"/>
      <c r="C333" s="268"/>
      <c r="D333" s="50" t="s">
        <v>17</v>
      </c>
      <c r="E333" s="50" t="s">
        <v>27</v>
      </c>
      <c r="F333" s="71" t="s">
        <v>28</v>
      </c>
      <c r="G333" s="27" t="s">
        <v>29</v>
      </c>
      <c r="H333" s="27">
        <v>36</v>
      </c>
      <c r="I333" s="45">
        <f>24000/36</f>
        <v>666.66666666666663</v>
      </c>
      <c r="J333" s="45">
        <v>0</v>
      </c>
      <c r="K333" s="45">
        <v>24000</v>
      </c>
      <c r="L333" s="45"/>
      <c r="M333" s="45"/>
      <c r="N333" s="45"/>
      <c r="O333" s="45">
        <v>0</v>
      </c>
      <c r="P333" s="118">
        <v>0</v>
      </c>
      <c r="Q333" s="126">
        <v>0</v>
      </c>
      <c r="R333" s="32">
        <f t="shared" si="178"/>
        <v>0</v>
      </c>
      <c r="S333" s="60">
        <f t="shared" si="179"/>
        <v>0</v>
      </c>
      <c r="T333" s="60"/>
      <c r="U333" s="32">
        <f t="shared" si="180"/>
        <v>0</v>
      </c>
      <c r="V333" s="32"/>
      <c r="W333" s="126"/>
      <c r="X333" s="60"/>
      <c r="Y333" s="60"/>
      <c r="Z333" s="32">
        <f t="shared" si="181"/>
        <v>0</v>
      </c>
      <c r="AA333" s="34" t="s">
        <v>412</v>
      </c>
      <c r="AB333" s="127"/>
    </row>
    <row r="334" spans="1:29" ht="15" customHeight="1" x14ac:dyDescent="0.35">
      <c r="A334" s="264"/>
      <c r="B334" s="268"/>
      <c r="C334" s="268"/>
      <c r="D334" s="50" t="s">
        <v>17</v>
      </c>
      <c r="E334" s="50" t="s">
        <v>27</v>
      </c>
      <c r="F334" s="71" t="s">
        <v>118</v>
      </c>
      <c r="G334" s="27" t="s">
        <v>86</v>
      </c>
      <c r="H334" s="27">
        <v>1</v>
      </c>
      <c r="I334" s="45">
        <v>10000</v>
      </c>
      <c r="J334" s="45">
        <v>10000</v>
      </c>
      <c r="K334" s="45">
        <v>0</v>
      </c>
      <c r="L334" s="45"/>
      <c r="M334" s="45"/>
      <c r="N334" s="45"/>
      <c r="O334" s="45">
        <v>0</v>
      </c>
      <c r="P334" s="118">
        <v>10000</v>
      </c>
      <c r="Q334" s="126">
        <v>10000</v>
      </c>
      <c r="R334" s="32">
        <f t="shared" si="178"/>
        <v>10000</v>
      </c>
      <c r="S334" s="60">
        <f t="shared" si="179"/>
        <v>0</v>
      </c>
      <c r="T334" s="60"/>
      <c r="U334" s="32">
        <f t="shared" si="180"/>
        <v>0</v>
      </c>
      <c r="V334" s="32"/>
      <c r="W334" s="126"/>
      <c r="X334" s="60"/>
      <c r="Y334" s="60"/>
      <c r="Z334" s="32">
        <f t="shared" si="181"/>
        <v>0</v>
      </c>
      <c r="AA334" s="34" t="s">
        <v>413</v>
      </c>
      <c r="AB334" s="127"/>
    </row>
    <row r="335" spans="1:29" ht="15" customHeight="1" x14ac:dyDescent="0.35">
      <c r="A335" s="264"/>
      <c r="B335" s="268"/>
      <c r="C335" s="268"/>
      <c r="D335" s="50" t="s">
        <v>17</v>
      </c>
      <c r="E335" s="50" t="s">
        <v>27</v>
      </c>
      <c r="F335" s="71" t="s">
        <v>39</v>
      </c>
      <c r="G335" s="27" t="s">
        <v>40</v>
      </c>
      <c r="H335" s="27">
        <v>1</v>
      </c>
      <c r="I335" s="45">
        <f>4500+8000</f>
        <v>12500</v>
      </c>
      <c r="J335" s="45">
        <v>12500</v>
      </c>
      <c r="K335" s="45">
        <v>0</v>
      </c>
      <c r="L335" s="45"/>
      <c r="M335" s="45"/>
      <c r="N335" s="45"/>
      <c r="O335" s="45">
        <v>0</v>
      </c>
      <c r="P335" s="118">
        <v>12500</v>
      </c>
      <c r="Q335" s="126">
        <v>12500</v>
      </c>
      <c r="R335" s="32">
        <f t="shared" si="178"/>
        <v>12500</v>
      </c>
      <c r="S335" s="60">
        <f t="shared" si="179"/>
        <v>0</v>
      </c>
      <c r="T335" s="60"/>
      <c r="U335" s="32">
        <f t="shared" si="180"/>
        <v>0</v>
      </c>
      <c r="V335" s="32"/>
      <c r="W335" s="126"/>
      <c r="X335" s="60"/>
      <c r="Y335" s="60"/>
      <c r="Z335" s="32">
        <f t="shared" si="181"/>
        <v>0</v>
      </c>
      <c r="AA335" s="34" t="s">
        <v>414</v>
      </c>
      <c r="AB335" s="127"/>
    </row>
    <row r="336" spans="1:29" ht="15" customHeight="1" x14ac:dyDescent="0.35">
      <c r="A336" s="264"/>
      <c r="B336" s="268"/>
      <c r="C336" s="268"/>
      <c r="D336" s="50" t="s">
        <v>17</v>
      </c>
      <c r="E336" s="50" t="s">
        <v>34</v>
      </c>
      <c r="F336" s="71" t="s">
        <v>53</v>
      </c>
      <c r="G336" s="27" t="s">
        <v>86</v>
      </c>
      <c r="H336" s="27">
        <v>1</v>
      </c>
      <c r="I336" s="45">
        <v>1000</v>
      </c>
      <c r="J336" s="45">
        <v>0</v>
      </c>
      <c r="K336" s="45">
        <v>1000</v>
      </c>
      <c r="L336" s="45"/>
      <c r="M336" s="45"/>
      <c r="N336" s="45"/>
      <c r="O336" s="45">
        <v>0</v>
      </c>
      <c r="P336" s="118">
        <v>0</v>
      </c>
      <c r="Q336" s="126">
        <v>0</v>
      </c>
      <c r="R336" s="32">
        <f t="shared" si="178"/>
        <v>0</v>
      </c>
      <c r="S336" s="60">
        <f t="shared" si="179"/>
        <v>0</v>
      </c>
      <c r="T336" s="60"/>
      <c r="U336" s="32">
        <f t="shared" si="180"/>
        <v>0</v>
      </c>
      <c r="V336" s="32"/>
      <c r="W336" s="126"/>
      <c r="X336" s="60"/>
      <c r="Y336" s="60"/>
      <c r="Z336" s="32">
        <f t="shared" si="181"/>
        <v>0</v>
      </c>
      <c r="AA336" s="34" t="s">
        <v>415</v>
      </c>
      <c r="AB336" s="127"/>
    </row>
    <row r="337" spans="1:28" ht="15" customHeight="1" x14ac:dyDescent="0.35">
      <c r="A337" s="264"/>
      <c r="B337" s="268"/>
      <c r="C337" s="268"/>
      <c r="D337" s="50" t="s">
        <v>17</v>
      </c>
      <c r="E337" s="50" t="s">
        <v>34</v>
      </c>
      <c r="F337" s="71" t="s">
        <v>69</v>
      </c>
      <c r="G337" s="27" t="s">
        <v>55</v>
      </c>
      <c r="H337" s="27">
        <v>48</v>
      </c>
      <c r="I337" s="45">
        <v>1100</v>
      </c>
      <c r="J337" s="45">
        <v>39600</v>
      </c>
      <c r="K337" s="45">
        <v>0</v>
      </c>
      <c r="L337" s="45"/>
      <c r="M337" s="45"/>
      <c r="N337" s="45"/>
      <c r="O337" s="45">
        <v>13094.900000000001</v>
      </c>
      <c r="P337" s="118">
        <v>26505.1</v>
      </c>
      <c r="Q337" s="126">
        <v>4224.01</v>
      </c>
      <c r="R337" s="32">
        <f t="shared" si="178"/>
        <v>17318.910000000003</v>
      </c>
      <c r="S337" s="60">
        <f t="shared" si="179"/>
        <v>9186.1899999999951</v>
      </c>
      <c r="T337" s="60"/>
      <c r="U337" s="32">
        <f t="shared" si="180"/>
        <v>22281.089999999997</v>
      </c>
      <c r="V337" s="32">
        <v>13252.55</v>
      </c>
      <c r="W337" s="126"/>
      <c r="X337" s="60">
        <v>5000</v>
      </c>
      <c r="Y337" s="60">
        <v>4028.54</v>
      </c>
      <c r="Z337" s="32">
        <f t="shared" si="181"/>
        <v>13252.549999999996</v>
      </c>
      <c r="AA337" s="34" t="s">
        <v>416</v>
      </c>
      <c r="AB337" s="127"/>
    </row>
    <row r="338" spans="1:28" ht="15" customHeight="1" x14ac:dyDescent="0.35">
      <c r="A338" s="264"/>
      <c r="B338" s="268"/>
      <c r="C338" s="268"/>
      <c r="D338" s="50" t="s">
        <v>17</v>
      </c>
      <c r="E338" s="50" t="s">
        <v>161</v>
      </c>
      <c r="F338" s="71" t="s">
        <v>36</v>
      </c>
      <c r="G338" s="27" t="s">
        <v>55</v>
      </c>
      <c r="H338" s="27">
        <v>10</v>
      </c>
      <c r="I338" s="45">
        <v>4400</v>
      </c>
      <c r="J338" s="45">
        <v>41600</v>
      </c>
      <c r="K338" s="45">
        <v>0</v>
      </c>
      <c r="L338" s="45"/>
      <c r="M338" s="45">
        <v>5953.03</v>
      </c>
      <c r="N338" s="45"/>
      <c r="O338" s="45">
        <v>0</v>
      </c>
      <c r="P338" s="118">
        <v>35646.97</v>
      </c>
      <c r="Q338" s="126">
        <v>0</v>
      </c>
      <c r="R338" s="32">
        <f t="shared" si="178"/>
        <v>5953.03</v>
      </c>
      <c r="S338" s="60">
        <f t="shared" si="179"/>
        <v>29693.940000000002</v>
      </c>
      <c r="T338" s="60"/>
      <c r="U338" s="32">
        <f t="shared" si="180"/>
        <v>35646.97</v>
      </c>
      <c r="V338" s="32"/>
      <c r="W338" s="126"/>
      <c r="X338" s="60">
        <v>20000</v>
      </c>
      <c r="Y338" s="60">
        <v>5646.97</v>
      </c>
      <c r="Z338" s="32">
        <f t="shared" si="181"/>
        <v>10000</v>
      </c>
      <c r="AA338" s="34" t="s">
        <v>417</v>
      </c>
      <c r="AB338" s="127"/>
    </row>
    <row r="339" spans="1:28" ht="15" customHeight="1" x14ac:dyDescent="0.35">
      <c r="A339" s="264"/>
      <c r="B339" s="268"/>
      <c r="C339" s="268"/>
      <c r="D339" s="50" t="s">
        <v>17</v>
      </c>
      <c r="E339" s="50" t="s">
        <v>34</v>
      </c>
      <c r="F339" s="71" t="s">
        <v>130</v>
      </c>
      <c r="G339" s="27" t="s">
        <v>40</v>
      </c>
      <c r="H339" s="27">
        <v>48</v>
      </c>
      <c r="I339" s="45">
        <v>1000</v>
      </c>
      <c r="J339" s="45">
        <v>48000</v>
      </c>
      <c r="K339" s="45">
        <v>0</v>
      </c>
      <c r="L339" s="45"/>
      <c r="M339" s="45"/>
      <c r="N339" s="45"/>
      <c r="O339" s="45">
        <v>5108.0200000000004</v>
      </c>
      <c r="P339" s="118">
        <v>42891.979999999996</v>
      </c>
      <c r="Q339" s="126">
        <v>15004.630000000001</v>
      </c>
      <c r="R339" s="32">
        <f t="shared" si="178"/>
        <v>20112.650000000001</v>
      </c>
      <c r="S339" s="60">
        <f t="shared" si="179"/>
        <v>22779.329999999994</v>
      </c>
      <c r="T339" s="60"/>
      <c r="U339" s="32">
        <f t="shared" si="180"/>
        <v>27887.349999999995</v>
      </c>
      <c r="V339" s="32">
        <v>21445.989999999998</v>
      </c>
      <c r="W339" s="126"/>
      <c r="X339" s="60">
        <v>3441.36</v>
      </c>
      <c r="Y339" s="60">
        <v>3000</v>
      </c>
      <c r="Z339" s="32">
        <f t="shared" si="181"/>
        <v>21445.989999999994</v>
      </c>
      <c r="AA339" s="34" t="s">
        <v>418</v>
      </c>
      <c r="AB339" s="127"/>
    </row>
    <row r="340" spans="1:28" ht="15" customHeight="1" x14ac:dyDescent="0.35">
      <c r="A340" s="264"/>
      <c r="B340" s="268"/>
      <c r="C340" s="268"/>
      <c r="D340" s="50" t="s">
        <v>17</v>
      </c>
      <c r="E340" s="50" t="s">
        <v>34</v>
      </c>
      <c r="F340" s="71" t="s">
        <v>127</v>
      </c>
      <c r="G340" s="27" t="s">
        <v>86</v>
      </c>
      <c r="H340" s="27">
        <v>48</v>
      </c>
      <c r="I340" s="45">
        <v>500</v>
      </c>
      <c r="J340" s="45">
        <v>12000</v>
      </c>
      <c r="K340" s="45">
        <v>0</v>
      </c>
      <c r="L340" s="45"/>
      <c r="M340" s="45"/>
      <c r="N340" s="45"/>
      <c r="O340" s="45">
        <v>0</v>
      </c>
      <c r="P340" s="118">
        <v>12000</v>
      </c>
      <c r="Q340" s="126">
        <v>2571.9899999999998</v>
      </c>
      <c r="R340" s="32">
        <f t="shared" si="178"/>
        <v>2571.9899999999998</v>
      </c>
      <c r="S340" s="60">
        <f t="shared" si="179"/>
        <v>9428.01</v>
      </c>
      <c r="T340" s="60"/>
      <c r="U340" s="32">
        <f t="shared" si="180"/>
        <v>9428.01</v>
      </c>
      <c r="V340" s="32">
        <v>6000</v>
      </c>
      <c r="W340" s="126"/>
      <c r="X340" s="60">
        <v>2000</v>
      </c>
      <c r="Y340" s="60"/>
      <c r="Z340" s="32">
        <f t="shared" si="181"/>
        <v>7428.01</v>
      </c>
      <c r="AA340" s="34" t="s">
        <v>419</v>
      </c>
      <c r="AB340" s="127"/>
    </row>
    <row r="341" spans="1:28" ht="15" customHeight="1" x14ac:dyDescent="0.35">
      <c r="A341" s="264"/>
      <c r="B341" s="268"/>
      <c r="C341" s="268"/>
      <c r="D341" s="50" t="s">
        <v>17</v>
      </c>
      <c r="E341" s="50" t="s">
        <v>34</v>
      </c>
      <c r="F341" s="71" t="s">
        <v>39</v>
      </c>
      <c r="G341" s="27" t="s">
        <v>40</v>
      </c>
      <c r="H341" s="27">
        <v>4</v>
      </c>
      <c r="I341" s="45">
        <v>3000</v>
      </c>
      <c r="J341" s="45">
        <v>12000</v>
      </c>
      <c r="K341" s="45">
        <v>0</v>
      </c>
      <c r="L341" s="45"/>
      <c r="M341" s="45"/>
      <c r="N341" s="45"/>
      <c r="O341" s="45">
        <v>20306.14</v>
      </c>
      <c r="P341" s="118">
        <v>-8306.14</v>
      </c>
      <c r="Q341" s="126">
        <v>0</v>
      </c>
      <c r="R341" s="32">
        <f t="shared" si="178"/>
        <v>20306.14</v>
      </c>
      <c r="S341" s="60">
        <f t="shared" si="179"/>
        <v>-28612.28</v>
      </c>
      <c r="T341" s="60"/>
      <c r="U341" s="32">
        <f t="shared" si="180"/>
        <v>-8306.14</v>
      </c>
      <c r="V341" s="32">
        <v>0</v>
      </c>
      <c r="W341" s="126"/>
      <c r="X341" s="60"/>
      <c r="Y341" s="60"/>
      <c r="Z341" s="32">
        <f t="shared" si="181"/>
        <v>-8306.14</v>
      </c>
      <c r="AA341" s="34" t="s">
        <v>420</v>
      </c>
      <c r="AB341" s="127"/>
    </row>
    <row r="342" spans="1:28" ht="15" customHeight="1" x14ac:dyDescent="0.35">
      <c r="A342" s="264"/>
      <c r="B342" s="268"/>
      <c r="C342" s="268"/>
      <c r="D342" s="50" t="s">
        <v>17</v>
      </c>
      <c r="E342" s="50" t="s">
        <v>34</v>
      </c>
      <c r="F342" s="71" t="s">
        <v>64</v>
      </c>
      <c r="G342" s="27" t="s">
        <v>62</v>
      </c>
      <c r="H342" s="27">
        <v>1</v>
      </c>
      <c r="I342" s="45">
        <v>4000</v>
      </c>
      <c r="J342" s="45">
        <v>4000</v>
      </c>
      <c r="K342" s="45">
        <v>0</v>
      </c>
      <c r="L342" s="45"/>
      <c r="M342" s="45"/>
      <c r="N342" s="45"/>
      <c r="O342" s="45">
        <v>2117.9899999999998</v>
      </c>
      <c r="P342" s="118">
        <v>1882.0100000000002</v>
      </c>
      <c r="Q342" s="126">
        <v>70.98</v>
      </c>
      <c r="R342" s="32">
        <f t="shared" si="178"/>
        <v>2188.9699999999998</v>
      </c>
      <c r="S342" s="60">
        <f t="shared" si="179"/>
        <v>-306.95999999999958</v>
      </c>
      <c r="T342" s="60"/>
      <c r="U342" s="32">
        <f t="shared" si="180"/>
        <v>1811.0300000000002</v>
      </c>
      <c r="V342" s="32"/>
      <c r="W342" s="126"/>
      <c r="X342" s="60">
        <v>900</v>
      </c>
      <c r="Y342" s="60">
        <v>911.03</v>
      </c>
      <c r="Z342" s="32">
        <f t="shared" si="181"/>
        <v>0</v>
      </c>
      <c r="AA342" s="34" t="s">
        <v>421</v>
      </c>
      <c r="AB342" s="127"/>
    </row>
    <row r="343" spans="1:28" ht="15" customHeight="1" x14ac:dyDescent="0.35">
      <c r="A343" s="264"/>
      <c r="B343" s="268"/>
      <c r="C343" s="268"/>
      <c r="D343" s="50" t="s">
        <v>17</v>
      </c>
      <c r="E343" s="50" t="s">
        <v>34</v>
      </c>
      <c r="F343" s="71" t="s">
        <v>71</v>
      </c>
      <c r="G343" s="27" t="s">
        <v>62</v>
      </c>
      <c r="H343" s="27">
        <v>4</v>
      </c>
      <c r="I343" s="45">
        <v>350</v>
      </c>
      <c r="J343" s="45">
        <v>1400</v>
      </c>
      <c r="K343" s="45">
        <v>0</v>
      </c>
      <c r="L343" s="45"/>
      <c r="M343" s="45"/>
      <c r="N343" s="45"/>
      <c r="O343" s="45">
        <v>0</v>
      </c>
      <c r="P343" s="118">
        <v>1400</v>
      </c>
      <c r="Q343" s="126">
        <v>0</v>
      </c>
      <c r="R343" s="32">
        <f t="shared" si="178"/>
        <v>0</v>
      </c>
      <c r="S343" s="60">
        <f t="shared" si="179"/>
        <v>1400</v>
      </c>
      <c r="T343" s="60"/>
      <c r="U343" s="32">
        <f t="shared" si="180"/>
        <v>1400</v>
      </c>
      <c r="V343" s="32">
        <v>0</v>
      </c>
      <c r="W343" s="126"/>
      <c r="X343" s="60"/>
      <c r="Y343" s="60"/>
      <c r="Z343" s="32">
        <f t="shared" si="181"/>
        <v>1400</v>
      </c>
      <c r="AA343" s="34" t="s">
        <v>422</v>
      </c>
      <c r="AB343" s="127"/>
    </row>
    <row r="344" spans="1:28" ht="15" customHeight="1" x14ac:dyDescent="0.35">
      <c r="A344" s="264"/>
      <c r="B344" s="268"/>
      <c r="C344" s="268"/>
      <c r="D344" s="50" t="s">
        <v>17</v>
      </c>
      <c r="E344" s="50" t="s">
        <v>34</v>
      </c>
      <c r="F344" s="71" t="s">
        <v>73</v>
      </c>
      <c r="G344" s="27" t="s">
        <v>86</v>
      </c>
      <c r="H344" s="27">
        <v>1</v>
      </c>
      <c r="I344" s="45">
        <v>2500</v>
      </c>
      <c r="J344" s="45">
        <v>10000</v>
      </c>
      <c r="K344" s="45">
        <v>0</v>
      </c>
      <c r="L344" s="45"/>
      <c r="M344" s="45"/>
      <c r="N344" s="45"/>
      <c r="O344" s="45">
        <v>193.19</v>
      </c>
      <c r="P344" s="118">
        <v>9806.81</v>
      </c>
      <c r="Q344" s="126">
        <v>1199.17</v>
      </c>
      <c r="R344" s="32">
        <f t="shared" si="178"/>
        <v>1392.3600000000001</v>
      </c>
      <c r="S344" s="60">
        <f t="shared" si="179"/>
        <v>8414.4499999999989</v>
      </c>
      <c r="T344" s="60"/>
      <c r="U344" s="32">
        <f t="shared" si="180"/>
        <v>8607.64</v>
      </c>
      <c r="V344" s="32">
        <v>4903.4049999999997</v>
      </c>
      <c r="W344" s="126"/>
      <c r="X344" s="60">
        <v>2000</v>
      </c>
      <c r="Y344" s="60">
        <v>1704.24</v>
      </c>
      <c r="Z344" s="32">
        <f t="shared" si="181"/>
        <v>4903.3999999999996</v>
      </c>
      <c r="AA344" s="34" t="s">
        <v>423</v>
      </c>
      <c r="AB344" s="127"/>
    </row>
    <row r="345" spans="1:28" ht="15" customHeight="1" x14ac:dyDescent="0.35">
      <c r="A345" s="264"/>
      <c r="B345" s="268"/>
      <c r="C345" s="268"/>
      <c r="D345" s="50" t="s">
        <v>17</v>
      </c>
      <c r="E345" s="50" t="s">
        <v>34</v>
      </c>
      <c r="F345" s="71" t="s">
        <v>61</v>
      </c>
      <c r="G345" s="27" t="s">
        <v>62</v>
      </c>
      <c r="H345" s="27">
        <v>25</v>
      </c>
      <c r="I345" s="45">
        <v>568</v>
      </c>
      <c r="J345" s="45">
        <v>14200</v>
      </c>
      <c r="K345" s="45">
        <v>0</v>
      </c>
      <c r="L345" s="45"/>
      <c r="M345" s="45"/>
      <c r="N345" s="45"/>
      <c r="O345" s="45">
        <v>4429.07</v>
      </c>
      <c r="P345" s="118">
        <v>9770.93</v>
      </c>
      <c r="Q345" s="126">
        <v>0</v>
      </c>
      <c r="R345" s="32">
        <f t="shared" si="178"/>
        <v>4429.07</v>
      </c>
      <c r="S345" s="60">
        <f t="shared" si="179"/>
        <v>5341.8600000000006</v>
      </c>
      <c r="T345" s="60"/>
      <c r="U345" s="32">
        <f t="shared" si="180"/>
        <v>9770.93</v>
      </c>
      <c r="V345" s="32"/>
      <c r="W345" s="126"/>
      <c r="X345" s="60">
        <v>5000</v>
      </c>
      <c r="Y345" s="60">
        <v>4770.93</v>
      </c>
      <c r="Z345" s="32">
        <f t="shared" si="181"/>
        <v>0</v>
      </c>
      <c r="AA345" s="34" t="s">
        <v>424</v>
      </c>
      <c r="AB345" s="127"/>
    </row>
    <row r="346" spans="1:28" ht="15" customHeight="1" x14ac:dyDescent="0.35">
      <c r="A346" s="264"/>
      <c r="B346" s="268"/>
      <c r="C346" s="268"/>
      <c r="D346" s="50" t="s">
        <v>17</v>
      </c>
      <c r="E346" s="50" t="s">
        <v>34</v>
      </c>
      <c r="F346" s="71" t="s">
        <v>61</v>
      </c>
      <c r="G346" s="27" t="s">
        <v>62</v>
      </c>
      <c r="H346" s="27">
        <v>1</v>
      </c>
      <c r="I346" s="45">
        <v>2000</v>
      </c>
      <c r="J346" s="45">
        <v>2000</v>
      </c>
      <c r="K346" s="45">
        <v>0</v>
      </c>
      <c r="L346" s="45"/>
      <c r="M346" s="45"/>
      <c r="N346" s="45"/>
      <c r="O346" s="45">
        <v>1357.34</v>
      </c>
      <c r="P346" s="118">
        <v>642.66000000000008</v>
      </c>
      <c r="Q346" s="126">
        <v>529.23</v>
      </c>
      <c r="R346" s="32">
        <f t="shared" si="178"/>
        <v>1886.57</v>
      </c>
      <c r="S346" s="60">
        <f t="shared" si="179"/>
        <v>-1243.9099999999999</v>
      </c>
      <c r="T346" s="60"/>
      <c r="U346" s="32">
        <f t="shared" si="180"/>
        <v>113.43000000000006</v>
      </c>
      <c r="V346" s="32"/>
      <c r="W346" s="126"/>
      <c r="X346" s="60"/>
      <c r="Y346" s="60"/>
      <c r="Z346" s="32">
        <f t="shared" si="181"/>
        <v>113.43000000000006</v>
      </c>
      <c r="AA346" s="34" t="s">
        <v>425</v>
      </c>
      <c r="AB346" s="127"/>
    </row>
    <row r="347" spans="1:28" ht="15" customHeight="1" x14ac:dyDescent="0.35">
      <c r="A347" s="264"/>
      <c r="B347" s="268"/>
      <c r="C347" s="268"/>
      <c r="D347" s="50" t="s">
        <v>17</v>
      </c>
      <c r="E347" s="50" t="s">
        <v>34</v>
      </c>
      <c r="F347" s="71" t="s">
        <v>53</v>
      </c>
      <c r="G347" s="27" t="s">
        <v>62</v>
      </c>
      <c r="H347" s="27">
        <v>3</v>
      </c>
      <c r="I347" s="45">
        <v>3000</v>
      </c>
      <c r="J347" s="45">
        <v>9000</v>
      </c>
      <c r="K347" s="45">
        <v>0</v>
      </c>
      <c r="L347" s="45"/>
      <c r="M347" s="45"/>
      <c r="N347" s="45"/>
      <c r="O347" s="45">
        <v>0</v>
      </c>
      <c r="P347" s="118">
        <v>9000</v>
      </c>
      <c r="Q347" s="126">
        <v>0</v>
      </c>
      <c r="R347" s="32">
        <f t="shared" si="178"/>
        <v>0</v>
      </c>
      <c r="S347" s="60">
        <f t="shared" si="179"/>
        <v>9000</v>
      </c>
      <c r="T347" s="60"/>
      <c r="U347" s="32">
        <f t="shared" si="180"/>
        <v>9000</v>
      </c>
      <c r="V347" s="32"/>
      <c r="W347" s="126"/>
      <c r="X347" s="60">
        <v>4000</v>
      </c>
      <c r="Y347" s="60"/>
      <c r="Z347" s="32">
        <f t="shared" si="181"/>
        <v>5000</v>
      </c>
      <c r="AA347" s="34" t="s">
        <v>426</v>
      </c>
      <c r="AB347" s="127"/>
    </row>
    <row r="348" spans="1:28" ht="15" customHeight="1" x14ac:dyDescent="0.35">
      <c r="A348" s="264"/>
      <c r="B348" s="50"/>
      <c r="C348" s="53"/>
      <c r="D348" s="53"/>
      <c r="E348" s="53"/>
      <c r="F348" s="74"/>
      <c r="G348" s="41"/>
      <c r="H348" s="41"/>
      <c r="I348" s="54"/>
      <c r="J348" s="54">
        <f>SUM(J322:J347)</f>
        <v>616327</v>
      </c>
      <c r="K348" s="54">
        <f t="shared" ref="K348:L348" si="182">SUM(K322:K347)</f>
        <v>52000</v>
      </c>
      <c r="L348" s="54">
        <f t="shared" si="182"/>
        <v>0</v>
      </c>
      <c r="M348" s="54">
        <v>18676.939999999999</v>
      </c>
      <c r="N348" s="54">
        <v>14077.54</v>
      </c>
      <c r="O348" s="54">
        <v>60684.19</v>
      </c>
      <c r="P348" s="54">
        <f>SUM(P322:P347)</f>
        <v>522888.3299999999</v>
      </c>
      <c r="Q348" s="54">
        <f t="shared" ref="Q348:Z348" si="183">SUM(Q322:Q347)</f>
        <v>197486.00000000003</v>
      </c>
      <c r="R348" s="54">
        <f t="shared" si="183"/>
        <v>290924.67</v>
      </c>
      <c r="S348" s="54">
        <f t="shared" si="183"/>
        <v>231963.66</v>
      </c>
      <c r="T348" s="54">
        <f t="shared" si="183"/>
        <v>0</v>
      </c>
      <c r="U348" s="54">
        <f t="shared" si="183"/>
        <v>325402.32999999996</v>
      </c>
      <c r="V348" s="54">
        <f>SUM(V322:V347)</f>
        <v>89435.264999999985</v>
      </c>
      <c r="W348" s="54">
        <f t="shared" si="183"/>
        <v>68962.95</v>
      </c>
      <c r="X348" s="54">
        <f>SUM(X322:X347)</f>
        <v>74341.36</v>
      </c>
      <c r="Y348" s="54">
        <f t="shared" si="183"/>
        <v>52061.71</v>
      </c>
      <c r="Z348" s="54">
        <f t="shared" si="183"/>
        <v>130036.30999999997</v>
      </c>
      <c r="AA348" s="49"/>
      <c r="AB348" s="128"/>
    </row>
    <row r="349" spans="1:28" ht="15" customHeight="1" x14ac:dyDescent="0.35">
      <c r="A349" s="264"/>
      <c r="B349" s="268" t="s">
        <v>427</v>
      </c>
      <c r="C349" s="268" t="s">
        <v>428</v>
      </c>
      <c r="D349" s="50" t="s">
        <v>33</v>
      </c>
      <c r="E349" s="50" t="s">
        <v>34</v>
      </c>
      <c r="F349" s="71" t="s">
        <v>28</v>
      </c>
      <c r="G349" s="27" t="s">
        <v>29</v>
      </c>
      <c r="H349" s="27">
        <v>14</v>
      </c>
      <c r="I349" s="45">
        <v>4000</v>
      </c>
      <c r="J349" s="45">
        <v>0</v>
      </c>
      <c r="K349" s="45">
        <v>56000</v>
      </c>
      <c r="L349" s="45"/>
      <c r="M349" s="45"/>
      <c r="N349" s="45"/>
      <c r="O349" s="45">
        <v>0</v>
      </c>
      <c r="P349" s="118">
        <v>0</v>
      </c>
      <c r="Q349" s="76">
        <v>0</v>
      </c>
      <c r="R349" s="32">
        <f t="shared" ref="R349:R357" si="184">L349+M349+N349+O349+Q349</f>
        <v>0</v>
      </c>
      <c r="S349" s="76">
        <f t="shared" ref="S349:S357" si="185">P349-R349</f>
        <v>0</v>
      </c>
      <c r="T349" s="76"/>
      <c r="U349" s="32">
        <f t="shared" ref="U349:U357" si="186">P349-Q349</f>
        <v>0</v>
      </c>
      <c r="V349" s="32"/>
      <c r="W349" s="76">
        <v>0</v>
      </c>
      <c r="X349" s="60"/>
      <c r="Y349" s="60"/>
      <c r="Z349" s="32">
        <f t="shared" ref="Z349:Z357" si="187">U349-(W349+X349+Y349)</f>
        <v>0</v>
      </c>
      <c r="AA349" s="34" t="s">
        <v>429</v>
      </c>
      <c r="AB349" s="127"/>
    </row>
    <row r="350" spans="1:28" ht="15" customHeight="1" x14ac:dyDescent="0.35">
      <c r="A350" s="264"/>
      <c r="B350" s="268"/>
      <c r="C350" s="268"/>
      <c r="D350" s="50" t="s">
        <v>17</v>
      </c>
      <c r="E350" s="50" t="s">
        <v>34</v>
      </c>
      <c r="F350" s="71" t="s">
        <v>118</v>
      </c>
      <c r="G350" s="27" t="s">
        <v>86</v>
      </c>
      <c r="H350" s="27">
        <v>4</v>
      </c>
      <c r="I350" s="45">
        <v>5000</v>
      </c>
      <c r="J350" s="45">
        <v>20000</v>
      </c>
      <c r="K350" s="45">
        <v>0</v>
      </c>
      <c r="L350" s="45"/>
      <c r="M350" s="45"/>
      <c r="N350" s="45"/>
      <c r="O350" s="45">
        <v>0</v>
      </c>
      <c r="P350" s="118">
        <v>20000</v>
      </c>
      <c r="Q350" s="76">
        <v>763.15</v>
      </c>
      <c r="R350" s="32">
        <f t="shared" si="184"/>
        <v>763.15</v>
      </c>
      <c r="S350" s="76">
        <f t="shared" si="185"/>
        <v>19236.849999999999</v>
      </c>
      <c r="T350" s="76"/>
      <c r="U350" s="32">
        <f t="shared" si="186"/>
        <v>19236.849999999999</v>
      </c>
      <c r="V350" s="32"/>
      <c r="W350" s="76">
        <v>0</v>
      </c>
      <c r="X350" s="60"/>
      <c r="Y350" s="60"/>
      <c r="Z350" s="32">
        <f t="shared" si="187"/>
        <v>19236.849999999999</v>
      </c>
      <c r="AA350" s="34" t="s">
        <v>430</v>
      </c>
      <c r="AB350" s="127" t="s">
        <v>601</v>
      </c>
    </row>
    <row r="351" spans="1:28" ht="15" customHeight="1" x14ac:dyDescent="0.35">
      <c r="A351" s="264"/>
      <c r="B351" s="268"/>
      <c r="C351" s="268"/>
      <c r="D351" s="50" t="s">
        <v>17</v>
      </c>
      <c r="E351" s="50" t="s">
        <v>361</v>
      </c>
      <c r="F351" s="71" t="s">
        <v>61</v>
      </c>
      <c r="G351" s="27" t="s">
        <v>431</v>
      </c>
      <c r="H351" s="27">
        <v>5</v>
      </c>
      <c r="I351" s="45">
        <v>8300</v>
      </c>
      <c r="J351" s="45">
        <v>41500</v>
      </c>
      <c r="K351" s="45">
        <v>0</v>
      </c>
      <c r="L351" s="45">
        <v>0</v>
      </c>
      <c r="M351" s="45"/>
      <c r="N351" s="45"/>
      <c r="O351" s="45">
        <v>0</v>
      </c>
      <c r="P351" s="118">
        <v>41500</v>
      </c>
      <c r="Q351" s="76">
        <v>0</v>
      </c>
      <c r="R351" s="32">
        <f t="shared" si="184"/>
        <v>0</v>
      </c>
      <c r="S351" s="76">
        <f t="shared" si="185"/>
        <v>41500</v>
      </c>
      <c r="T351" s="76"/>
      <c r="U351" s="32">
        <f t="shared" si="186"/>
        <v>41500</v>
      </c>
      <c r="V351" s="32"/>
      <c r="W351" s="76"/>
      <c r="X351" s="60">
        <v>21500</v>
      </c>
      <c r="Y351" s="60">
        <v>20000</v>
      </c>
      <c r="Z351" s="32">
        <f t="shared" si="187"/>
        <v>0</v>
      </c>
      <c r="AA351" s="34" t="s">
        <v>432</v>
      </c>
      <c r="AB351" s="127"/>
    </row>
    <row r="352" spans="1:28" ht="27" customHeight="1" x14ac:dyDescent="0.35">
      <c r="A352" s="264"/>
      <c r="B352" s="268"/>
      <c r="C352" s="268"/>
      <c r="D352" s="50" t="s">
        <v>17</v>
      </c>
      <c r="E352" s="50" t="s">
        <v>34</v>
      </c>
      <c r="F352" s="71" t="s">
        <v>57</v>
      </c>
      <c r="G352" s="27" t="s">
        <v>58</v>
      </c>
      <c r="H352" s="27">
        <v>30</v>
      </c>
      <c r="I352" s="45">
        <v>600</v>
      </c>
      <c r="J352" s="45">
        <v>18000</v>
      </c>
      <c r="K352" s="45">
        <v>0</v>
      </c>
      <c r="L352" s="45">
        <v>0</v>
      </c>
      <c r="M352" s="45"/>
      <c r="N352" s="45"/>
      <c r="O352" s="45">
        <v>0</v>
      </c>
      <c r="P352" s="118">
        <v>18000</v>
      </c>
      <c r="Q352" s="76">
        <v>0</v>
      </c>
      <c r="R352" s="32">
        <f t="shared" si="184"/>
        <v>0</v>
      </c>
      <c r="S352" s="76">
        <f t="shared" si="185"/>
        <v>18000</v>
      </c>
      <c r="T352" s="76"/>
      <c r="U352" s="32">
        <f t="shared" si="186"/>
        <v>18000</v>
      </c>
      <c r="V352" s="32"/>
      <c r="W352" s="76"/>
      <c r="X352" s="60"/>
      <c r="Y352" s="60"/>
      <c r="Z352" s="32">
        <f t="shared" si="187"/>
        <v>18000</v>
      </c>
      <c r="AA352" s="34" t="s">
        <v>433</v>
      </c>
      <c r="AB352" s="127" t="s">
        <v>1150</v>
      </c>
    </row>
    <row r="353" spans="1:28" ht="15" customHeight="1" x14ac:dyDescent="0.35">
      <c r="A353" s="264"/>
      <c r="B353" s="268"/>
      <c r="C353" s="268"/>
      <c r="D353" s="50" t="s">
        <v>17</v>
      </c>
      <c r="E353" s="50" t="s">
        <v>34</v>
      </c>
      <c r="F353" s="71" t="s">
        <v>36</v>
      </c>
      <c r="G353" s="27" t="s">
        <v>55</v>
      </c>
      <c r="H353" s="27">
        <v>1</v>
      </c>
      <c r="I353" s="45">
        <v>5500</v>
      </c>
      <c r="J353" s="45">
        <v>5500</v>
      </c>
      <c r="K353" s="45">
        <v>0</v>
      </c>
      <c r="L353" s="45"/>
      <c r="M353" s="45"/>
      <c r="N353" s="45"/>
      <c r="O353" s="45">
        <v>0</v>
      </c>
      <c r="P353" s="118">
        <v>5500</v>
      </c>
      <c r="Q353" s="76">
        <v>0</v>
      </c>
      <c r="R353" s="32">
        <f t="shared" si="184"/>
        <v>0</v>
      </c>
      <c r="S353" s="76">
        <f t="shared" si="185"/>
        <v>5500</v>
      </c>
      <c r="T353" s="76"/>
      <c r="U353" s="32">
        <f t="shared" si="186"/>
        <v>5500</v>
      </c>
      <c r="V353" s="32"/>
      <c r="W353" s="76"/>
      <c r="X353" s="60">
        <v>3000</v>
      </c>
      <c r="Y353" s="60">
        <v>2500</v>
      </c>
      <c r="Z353" s="32">
        <f t="shared" si="187"/>
        <v>0</v>
      </c>
      <c r="AA353" s="34" t="s">
        <v>434</v>
      </c>
      <c r="AB353" s="127" t="s">
        <v>570</v>
      </c>
    </row>
    <row r="354" spans="1:28" ht="15" customHeight="1" x14ac:dyDescent="0.35">
      <c r="A354" s="264"/>
      <c r="B354" s="268"/>
      <c r="C354" s="268"/>
      <c r="D354" s="50" t="s">
        <v>17</v>
      </c>
      <c r="E354" s="50" t="s">
        <v>34</v>
      </c>
      <c r="F354" s="71" t="s">
        <v>69</v>
      </c>
      <c r="G354" s="27" t="s">
        <v>55</v>
      </c>
      <c r="H354" s="27">
        <v>18</v>
      </c>
      <c r="I354" s="45">
        <v>2200</v>
      </c>
      <c r="J354" s="45">
        <v>39600</v>
      </c>
      <c r="K354" s="45">
        <v>0</v>
      </c>
      <c r="L354" s="45"/>
      <c r="M354" s="45"/>
      <c r="N354" s="45"/>
      <c r="O354" s="45">
        <v>0</v>
      </c>
      <c r="P354" s="118">
        <v>39600</v>
      </c>
      <c r="Q354" s="76">
        <v>0</v>
      </c>
      <c r="R354" s="32">
        <f t="shared" si="184"/>
        <v>0</v>
      </c>
      <c r="S354" s="76">
        <f t="shared" si="185"/>
        <v>39600</v>
      </c>
      <c r="T354" s="76"/>
      <c r="U354" s="32">
        <f t="shared" si="186"/>
        <v>39600</v>
      </c>
      <c r="V354" s="32"/>
      <c r="W354" s="76"/>
      <c r="X354" s="60">
        <v>10000</v>
      </c>
      <c r="Y354" s="60">
        <v>9800</v>
      </c>
      <c r="Z354" s="32">
        <f t="shared" si="187"/>
        <v>19800</v>
      </c>
      <c r="AA354" s="34" t="s">
        <v>435</v>
      </c>
      <c r="AB354" s="127"/>
    </row>
    <row r="355" spans="1:28" ht="15" customHeight="1" x14ac:dyDescent="0.35">
      <c r="A355" s="264"/>
      <c r="B355" s="268"/>
      <c r="C355" s="268"/>
      <c r="D355" s="50" t="s">
        <v>17</v>
      </c>
      <c r="E355" s="50" t="s">
        <v>161</v>
      </c>
      <c r="F355" s="71" t="s">
        <v>36</v>
      </c>
      <c r="G355" s="27" t="s">
        <v>55</v>
      </c>
      <c r="H355" s="27">
        <v>10</v>
      </c>
      <c r="I355" s="45">
        <v>3200</v>
      </c>
      <c r="J355" s="45">
        <v>32000</v>
      </c>
      <c r="K355" s="45">
        <v>0</v>
      </c>
      <c r="L355" s="45"/>
      <c r="M355" s="45"/>
      <c r="N355" s="45"/>
      <c r="O355" s="45">
        <v>0</v>
      </c>
      <c r="P355" s="118">
        <v>32000</v>
      </c>
      <c r="Q355" s="76">
        <v>0</v>
      </c>
      <c r="R355" s="32">
        <f t="shared" si="184"/>
        <v>0</v>
      </c>
      <c r="S355" s="76">
        <f t="shared" si="185"/>
        <v>32000</v>
      </c>
      <c r="T355" s="76"/>
      <c r="U355" s="32">
        <f t="shared" si="186"/>
        <v>32000</v>
      </c>
      <c r="V355" s="32"/>
      <c r="W355" s="76">
        <v>4000</v>
      </c>
      <c r="X355" s="60">
        <v>14000</v>
      </c>
      <c r="Y355" s="60">
        <v>14000</v>
      </c>
      <c r="Z355" s="32">
        <f t="shared" si="187"/>
        <v>0</v>
      </c>
      <c r="AA355" s="34" t="s">
        <v>436</v>
      </c>
      <c r="AB355" s="127" t="s">
        <v>602</v>
      </c>
    </row>
    <row r="356" spans="1:28" ht="15" customHeight="1" x14ac:dyDescent="0.35">
      <c r="A356" s="264"/>
      <c r="B356" s="268"/>
      <c r="C356" s="268"/>
      <c r="D356" s="50" t="s">
        <v>17</v>
      </c>
      <c r="E356" s="50" t="s">
        <v>34</v>
      </c>
      <c r="F356" s="71" t="s">
        <v>39</v>
      </c>
      <c r="G356" s="27" t="s">
        <v>257</v>
      </c>
      <c r="H356" s="27">
        <v>18</v>
      </c>
      <c r="I356" s="45">
        <v>1500</v>
      </c>
      <c r="J356" s="45">
        <v>4500</v>
      </c>
      <c r="K356" s="45">
        <v>0</v>
      </c>
      <c r="L356" s="45"/>
      <c r="M356" s="45"/>
      <c r="N356" s="45"/>
      <c r="O356" s="45">
        <v>0</v>
      </c>
      <c r="P356" s="118">
        <v>4500</v>
      </c>
      <c r="Q356" s="76">
        <v>0</v>
      </c>
      <c r="R356" s="32">
        <f t="shared" si="184"/>
        <v>0</v>
      </c>
      <c r="S356" s="76">
        <f t="shared" si="185"/>
        <v>4500</v>
      </c>
      <c r="T356" s="76"/>
      <c r="U356" s="32">
        <f t="shared" si="186"/>
        <v>4500</v>
      </c>
      <c r="V356" s="32"/>
      <c r="W356" s="76">
        <v>2500</v>
      </c>
      <c r="X356" s="60">
        <v>1000</v>
      </c>
      <c r="Y356" s="60">
        <v>1000</v>
      </c>
      <c r="Z356" s="32">
        <f t="shared" si="187"/>
        <v>0</v>
      </c>
      <c r="AA356" s="34" t="s">
        <v>437</v>
      </c>
      <c r="AB356" s="127"/>
    </row>
    <row r="357" spans="1:28" ht="15" customHeight="1" x14ac:dyDescent="0.35">
      <c r="A357" s="264"/>
      <c r="B357" s="268"/>
      <c r="C357" s="268"/>
      <c r="D357" s="50" t="s">
        <v>17</v>
      </c>
      <c r="E357" s="50" t="s">
        <v>161</v>
      </c>
      <c r="F357" s="71" t="s">
        <v>438</v>
      </c>
      <c r="G357" s="27" t="s">
        <v>439</v>
      </c>
      <c r="H357" s="27">
        <v>1</v>
      </c>
      <c r="I357" s="45">
        <v>0</v>
      </c>
      <c r="J357" s="45">
        <v>0</v>
      </c>
      <c r="K357" s="45">
        <v>0</v>
      </c>
      <c r="L357" s="45"/>
      <c r="M357" s="45"/>
      <c r="N357" s="45"/>
      <c r="O357" s="45"/>
      <c r="P357" s="118">
        <v>0</v>
      </c>
      <c r="Q357" s="76"/>
      <c r="R357" s="32">
        <f t="shared" si="184"/>
        <v>0</v>
      </c>
      <c r="S357" s="76">
        <f t="shared" si="185"/>
        <v>0</v>
      </c>
      <c r="T357" s="76"/>
      <c r="U357" s="32">
        <f t="shared" si="186"/>
        <v>0</v>
      </c>
      <c r="V357" s="32"/>
      <c r="W357" s="76">
        <v>60000</v>
      </c>
      <c r="X357" s="60">
        <v>80000</v>
      </c>
      <c r="Y357" s="60">
        <v>80000</v>
      </c>
      <c r="Z357" s="32">
        <f t="shared" si="187"/>
        <v>-220000</v>
      </c>
      <c r="AA357" s="34" t="s">
        <v>440</v>
      </c>
      <c r="AB357" s="127" t="s">
        <v>603</v>
      </c>
    </row>
    <row r="358" spans="1:28" ht="15" customHeight="1" x14ac:dyDescent="0.35">
      <c r="A358" s="264"/>
      <c r="B358" s="268"/>
      <c r="C358" s="53"/>
      <c r="D358" s="53"/>
      <c r="E358" s="53"/>
      <c r="F358" s="74"/>
      <c r="G358" s="41"/>
      <c r="H358" s="41"/>
      <c r="I358" s="54"/>
      <c r="J358" s="54">
        <f>SUM(J349:J357)</f>
        <v>161100</v>
      </c>
      <c r="K358" s="54">
        <f t="shared" ref="K358:L358" si="188">SUM(K349:K357)</f>
        <v>56000</v>
      </c>
      <c r="L358" s="54">
        <f t="shared" si="188"/>
        <v>0</v>
      </c>
      <c r="M358" s="54">
        <v>0</v>
      </c>
      <c r="N358" s="54">
        <v>0</v>
      </c>
      <c r="O358" s="54">
        <v>0</v>
      </c>
      <c r="P358" s="54">
        <f>SUM(P349:P357)</f>
        <v>161100</v>
      </c>
      <c r="Q358" s="54">
        <f t="shared" ref="Q358:Z358" si="189">SUM(Q349:Q357)</f>
        <v>763.15</v>
      </c>
      <c r="R358" s="54">
        <f t="shared" si="189"/>
        <v>763.15</v>
      </c>
      <c r="S358" s="54">
        <f t="shared" si="189"/>
        <v>160336.85</v>
      </c>
      <c r="T358" s="54">
        <f t="shared" si="189"/>
        <v>0</v>
      </c>
      <c r="U358" s="54">
        <f t="shared" si="189"/>
        <v>160336.85</v>
      </c>
      <c r="V358" s="54">
        <f t="shared" si="189"/>
        <v>0</v>
      </c>
      <c r="W358" s="54">
        <f t="shared" si="189"/>
        <v>66500</v>
      </c>
      <c r="X358" s="54">
        <f t="shared" si="189"/>
        <v>129500</v>
      </c>
      <c r="Y358" s="54">
        <f t="shared" si="189"/>
        <v>127300</v>
      </c>
      <c r="Z358" s="54">
        <f t="shared" si="189"/>
        <v>-162963.15</v>
      </c>
      <c r="AA358" s="49"/>
      <c r="AB358" s="128"/>
    </row>
    <row r="359" spans="1:28" ht="26" customHeight="1" x14ac:dyDescent="0.35">
      <c r="A359" s="264"/>
      <c r="B359" s="268"/>
      <c r="C359" s="271" t="s">
        <v>441</v>
      </c>
      <c r="D359" s="25" t="s">
        <v>17</v>
      </c>
      <c r="E359" s="50" t="s">
        <v>27</v>
      </c>
      <c r="F359" s="55" t="s">
        <v>28</v>
      </c>
      <c r="G359" s="27" t="s">
        <v>173</v>
      </c>
      <c r="H359" s="27">
        <v>12</v>
      </c>
      <c r="I359" s="45">
        <f>28750/12</f>
        <v>2395.8333333333335</v>
      </c>
      <c r="J359" s="45">
        <v>28750</v>
      </c>
      <c r="K359" s="45">
        <v>0</v>
      </c>
      <c r="L359" s="45"/>
      <c r="M359" s="45"/>
      <c r="N359" s="45"/>
      <c r="O359" s="45">
        <v>0</v>
      </c>
      <c r="P359" s="118">
        <v>28750</v>
      </c>
      <c r="Q359" s="126">
        <v>28750</v>
      </c>
      <c r="R359" s="32">
        <f t="shared" ref="R359:R362" si="190">L359+M359+N359+O359+Q359</f>
        <v>28750</v>
      </c>
      <c r="S359" s="60">
        <f>P359-R359</f>
        <v>0</v>
      </c>
      <c r="T359" s="60"/>
      <c r="U359" s="32">
        <f t="shared" ref="U359:U362" si="191">P359-Q359</f>
        <v>0</v>
      </c>
      <c r="V359" s="32"/>
      <c r="W359" s="126">
        <v>0</v>
      </c>
      <c r="X359" s="60"/>
      <c r="Y359" s="60"/>
      <c r="Z359" s="32">
        <f t="shared" ref="Z359:Z362" si="192">U359-(W359+X359+Y359)</f>
        <v>0</v>
      </c>
      <c r="AA359" s="34" t="s">
        <v>442</v>
      </c>
      <c r="AB359" s="234" t="s">
        <v>1105</v>
      </c>
    </row>
    <row r="360" spans="1:28" ht="15" customHeight="1" x14ac:dyDescent="0.35">
      <c r="A360" s="264"/>
      <c r="B360" s="268"/>
      <c r="C360" s="271"/>
      <c r="D360" s="25" t="s">
        <v>27</v>
      </c>
      <c r="E360" s="50" t="s">
        <v>27</v>
      </c>
      <c r="F360" s="55" t="s">
        <v>28</v>
      </c>
      <c r="G360" s="27" t="s">
        <v>173</v>
      </c>
      <c r="H360" s="27">
        <v>12</v>
      </c>
      <c r="I360" s="45">
        <f>6400/12</f>
        <v>533.33333333333337</v>
      </c>
      <c r="J360" s="45">
        <v>0</v>
      </c>
      <c r="K360" s="45">
        <v>6400</v>
      </c>
      <c r="L360" s="45"/>
      <c r="M360" s="45"/>
      <c r="N360" s="45"/>
      <c r="O360" s="45">
        <v>0</v>
      </c>
      <c r="P360" s="118">
        <v>0</v>
      </c>
      <c r="Q360" s="126">
        <v>0</v>
      </c>
      <c r="R360" s="32">
        <f t="shared" si="190"/>
        <v>0</v>
      </c>
      <c r="S360" s="60">
        <f>P360-R360</f>
        <v>0</v>
      </c>
      <c r="T360" s="60"/>
      <c r="U360" s="32">
        <f t="shared" si="191"/>
        <v>0</v>
      </c>
      <c r="V360" s="32"/>
      <c r="W360" s="126">
        <v>0</v>
      </c>
      <c r="X360" s="60"/>
      <c r="Y360" s="60"/>
      <c r="Z360" s="32">
        <f t="shared" si="192"/>
        <v>0</v>
      </c>
      <c r="AA360" s="34" t="s">
        <v>443</v>
      </c>
      <c r="AB360" s="127"/>
    </row>
    <row r="361" spans="1:28" ht="19" customHeight="1" x14ac:dyDescent="0.35">
      <c r="A361" s="264"/>
      <c r="B361" s="268"/>
      <c r="C361" s="271"/>
      <c r="D361" s="25" t="s">
        <v>33</v>
      </c>
      <c r="E361" s="50" t="s">
        <v>34</v>
      </c>
      <c r="F361" s="55" t="s">
        <v>28</v>
      </c>
      <c r="G361" s="27" t="s">
        <v>173</v>
      </c>
      <c r="H361" s="27">
        <v>1</v>
      </c>
      <c r="I361" s="45">
        <v>2000</v>
      </c>
      <c r="J361" s="45">
        <v>0</v>
      </c>
      <c r="K361" s="45">
        <v>2000</v>
      </c>
      <c r="L361" s="45"/>
      <c r="M361" s="45"/>
      <c r="N361" s="45"/>
      <c r="O361" s="45">
        <v>0</v>
      </c>
      <c r="P361" s="118">
        <v>0</v>
      </c>
      <c r="Q361" s="126">
        <v>0</v>
      </c>
      <c r="R361" s="32">
        <f t="shared" si="190"/>
        <v>0</v>
      </c>
      <c r="S361" s="60">
        <f>P361-R361</f>
        <v>0</v>
      </c>
      <c r="T361" s="60"/>
      <c r="U361" s="32">
        <f t="shared" si="191"/>
        <v>0</v>
      </c>
      <c r="V361" s="32"/>
      <c r="W361" s="126">
        <v>0</v>
      </c>
      <c r="X361" s="60"/>
      <c r="Y361" s="60"/>
      <c r="Z361" s="32">
        <f t="shared" si="192"/>
        <v>0</v>
      </c>
      <c r="AA361" s="34" t="s">
        <v>444</v>
      </c>
      <c r="AB361" s="127"/>
    </row>
    <row r="362" spans="1:28" ht="21" customHeight="1" x14ac:dyDescent="0.35">
      <c r="A362" s="264"/>
      <c r="B362" s="268"/>
      <c r="C362" s="271"/>
      <c r="D362" s="25" t="s">
        <v>17</v>
      </c>
      <c r="E362" s="50" t="s">
        <v>27</v>
      </c>
      <c r="F362" s="55" t="s">
        <v>36</v>
      </c>
      <c r="G362" s="27" t="s">
        <v>55</v>
      </c>
      <c r="H362" s="27">
        <v>2</v>
      </c>
      <c r="I362" s="45">
        <v>3500</v>
      </c>
      <c r="J362" s="45">
        <v>7000</v>
      </c>
      <c r="K362" s="45">
        <v>0</v>
      </c>
      <c r="L362" s="45"/>
      <c r="M362" s="45"/>
      <c r="N362" s="45"/>
      <c r="O362" s="45">
        <v>0</v>
      </c>
      <c r="P362" s="118">
        <v>7000</v>
      </c>
      <c r="Q362" s="126">
        <v>7000</v>
      </c>
      <c r="R362" s="32">
        <f t="shared" si="190"/>
        <v>7000</v>
      </c>
      <c r="S362" s="60">
        <f>P362-R362</f>
        <v>0</v>
      </c>
      <c r="T362" s="60"/>
      <c r="U362" s="32">
        <f t="shared" si="191"/>
        <v>0</v>
      </c>
      <c r="V362" s="32"/>
      <c r="W362" s="126">
        <v>0</v>
      </c>
      <c r="X362" s="60"/>
      <c r="Y362" s="60"/>
      <c r="Z362" s="32">
        <f t="shared" si="192"/>
        <v>0</v>
      </c>
      <c r="AA362" s="34" t="s">
        <v>445</v>
      </c>
      <c r="AB362" s="127"/>
    </row>
    <row r="363" spans="1:28" ht="15" customHeight="1" x14ac:dyDescent="0.35">
      <c r="A363" s="264"/>
      <c r="B363" s="50"/>
      <c r="C363" s="80"/>
      <c r="D363" s="39"/>
      <c r="E363" s="53"/>
      <c r="F363" s="57"/>
      <c r="G363" s="41"/>
      <c r="H363" s="41"/>
      <c r="I363" s="54"/>
      <c r="J363" s="54">
        <f>SUM(J359:J362)</f>
        <v>35750</v>
      </c>
      <c r="K363" s="54">
        <f t="shared" ref="K363:U363" si="193">SUM(K359:K362)</f>
        <v>8400</v>
      </c>
      <c r="L363" s="54">
        <f t="shared" si="193"/>
        <v>0</v>
      </c>
      <c r="M363" s="54">
        <f t="shared" si="193"/>
        <v>0</v>
      </c>
      <c r="N363" s="54">
        <f t="shared" si="193"/>
        <v>0</v>
      </c>
      <c r="O363" s="54">
        <f t="shared" si="193"/>
        <v>0</v>
      </c>
      <c r="P363" s="54">
        <f t="shared" si="193"/>
        <v>35750</v>
      </c>
      <c r="Q363" s="54">
        <f t="shared" si="193"/>
        <v>35750</v>
      </c>
      <c r="R363" s="54">
        <f t="shared" si="193"/>
        <v>35750</v>
      </c>
      <c r="S363" s="54">
        <f t="shared" si="193"/>
        <v>0</v>
      </c>
      <c r="T363" s="54">
        <f t="shared" si="193"/>
        <v>0</v>
      </c>
      <c r="U363" s="54">
        <f t="shared" si="193"/>
        <v>0</v>
      </c>
      <c r="V363" s="54">
        <f t="shared" ref="V363" si="194">SUM(V359:V362)</f>
        <v>0</v>
      </c>
      <c r="W363" s="54">
        <f t="shared" ref="W363" si="195">SUM(W359:W362)</f>
        <v>0</v>
      </c>
      <c r="X363" s="54">
        <f t="shared" ref="X363" si="196">SUM(X359:X362)</f>
        <v>0</v>
      </c>
      <c r="Y363" s="54">
        <f t="shared" ref="Y363" si="197">SUM(Y359:Y362)</f>
        <v>0</v>
      </c>
      <c r="Z363" s="54">
        <f t="shared" ref="Z363" si="198">SUM(Z359:Z362)</f>
        <v>0</v>
      </c>
      <c r="AA363" s="49"/>
      <c r="AB363" s="128"/>
    </row>
    <row r="364" spans="1:28" ht="36" customHeight="1" x14ac:dyDescent="0.35">
      <c r="A364" s="264"/>
      <c r="B364" s="268" t="s">
        <v>446</v>
      </c>
      <c r="C364" s="269" t="s">
        <v>447</v>
      </c>
      <c r="D364" s="50" t="s">
        <v>17</v>
      </c>
      <c r="E364" s="50" t="s">
        <v>161</v>
      </c>
      <c r="F364" s="71" t="s">
        <v>57</v>
      </c>
      <c r="G364" s="27" t="s">
        <v>29</v>
      </c>
      <c r="H364" s="27">
        <v>48</v>
      </c>
      <c r="I364" s="45">
        <v>8000</v>
      </c>
      <c r="J364" s="45">
        <v>483935</v>
      </c>
      <c r="K364" s="45">
        <v>0</v>
      </c>
      <c r="L364" s="45"/>
      <c r="M364" s="45"/>
      <c r="N364" s="45"/>
      <c r="O364" s="45">
        <v>0</v>
      </c>
      <c r="P364" s="118">
        <v>483935</v>
      </c>
      <c r="Q364" s="76">
        <v>0</v>
      </c>
      <c r="R364" s="32">
        <f t="shared" ref="R364:R375" si="199">L364+M364+N364+O364+Q364</f>
        <v>0</v>
      </c>
      <c r="S364" s="76">
        <f t="shared" ref="S364:S374" si="200">P364-R364</f>
        <v>483935</v>
      </c>
      <c r="T364" s="76"/>
      <c r="U364" s="32">
        <f t="shared" ref="U364:U375" si="201">P364-Q364</f>
        <v>483935</v>
      </c>
      <c r="V364" s="32">
        <v>89000</v>
      </c>
      <c r="W364" s="76"/>
      <c r="X364" s="60">
        <v>89000</v>
      </c>
      <c r="Y364" s="60">
        <v>89000</v>
      </c>
      <c r="Z364" s="32">
        <f t="shared" ref="Z364:Z375" si="202">U364-(W364+X364+Y364)</f>
        <v>305935</v>
      </c>
      <c r="AA364" s="34" t="s">
        <v>448</v>
      </c>
      <c r="AB364" s="234" t="s">
        <v>1106</v>
      </c>
    </row>
    <row r="365" spans="1:28" ht="24" customHeight="1" x14ac:dyDescent="0.35">
      <c r="A365" s="264"/>
      <c r="B365" s="268"/>
      <c r="C365" s="270"/>
      <c r="D365" s="50" t="s">
        <v>17</v>
      </c>
      <c r="E365" s="50" t="s">
        <v>161</v>
      </c>
      <c r="F365" s="71" t="s">
        <v>120</v>
      </c>
      <c r="G365" s="27" t="s">
        <v>58</v>
      </c>
      <c r="H365" s="27">
        <v>120</v>
      </c>
      <c r="I365" s="45">
        <v>600</v>
      </c>
      <c r="J365" s="45">
        <v>72000</v>
      </c>
      <c r="K365" s="45">
        <v>0</v>
      </c>
      <c r="L365" s="45"/>
      <c r="M365" s="45"/>
      <c r="N365" s="45"/>
      <c r="O365" s="45">
        <v>0</v>
      </c>
      <c r="P365" s="118">
        <v>72000</v>
      </c>
      <c r="Q365" s="76">
        <v>55958.75</v>
      </c>
      <c r="R365" s="32">
        <f t="shared" si="199"/>
        <v>55958.75</v>
      </c>
      <c r="S365" s="76">
        <f t="shared" si="200"/>
        <v>16041.25</v>
      </c>
      <c r="T365" s="76"/>
      <c r="U365" s="32">
        <f t="shared" si="201"/>
        <v>16041.25</v>
      </c>
      <c r="V365" s="32">
        <v>33500</v>
      </c>
      <c r="W365" s="76">
        <v>33500</v>
      </c>
      <c r="X365" s="60">
        <v>33500</v>
      </c>
      <c r="Y365" s="60">
        <f>33500+40000</f>
        <v>73500</v>
      </c>
      <c r="Z365" s="32">
        <f t="shared" si="202"/>
        <v>-124458.75</v>
      </c>
      <c r="AA365" s="34" t="s">
        <v>449</v>
      </c>
      <c r="AB365" s="234" t="s">
        <v>604</v>
      </c>
    </row>
    <row r="366" spans="1:28" ht="15" customHeight="1" x14ac:dyDescent="0.35">
      <c r="A366" s="264"/>
      <c r="B366" s="268"/>
      <c r="C366" s="270"/>
      <c r="D366" s="50" t="s">
        <v>17</v>
      </c>
      <c r="E366" s="50" t="s">
        <v>161</v>
      </c>
      <c r="F366" s="71" t="s">
        <v>36</v>
      </c>
      <c r="G366" s="27" t="s">
        <v>55</v>
      </c>
      <c r="H366" s="27">
        <v>3</v>
      </c>
      <c r="I366" s="45">
        <v>3750</v>
      </c>
      <c r="J366" s="45">
        <v>11250</v>
      </c>
      <c r="K366" s="45">
        <v>0</v>
      </c>
      <c r="L366" s="45"/>
      <c r="M366" s="45"/>
      <c r="N366" s="45"/>
      <c r="O366" s="45">
        <v>0</v>
      </c>
      <c r="P366" s="118">
        <v>11250</v>
      </c>
      <c r="Q366" s="76">
        <v>0</v>
      </c>
      <c r="R366" s="32">
        <f t="shared" si="199"/>
        <v>0</v>
      </c>
      <c r="S366" s="76">
        <f t="shared" si="200"/>
        <v>11250</v>
      </c>
      <c r="T366" s="76"/>
      <c r="U366" s="32">
        <f t="shared" si="201"/>
        <v>11250</v>
      </c>
      <c r="V366" s="32"/>
      <c r="W366" s="76">
        <v>0</v>
      </c>
      <c r="X366" s="60"/>
      <c r="Y366" s="60"/>
      <c r="Z366" s="32">
        <f t="shared" si="202"/>
        <v>11250</v>
      </c>
      <c r="AA366" s="34" t="s">
        <v>450</v>
      </c>
      <c r="AB366" s="127" t="s">
        <v>605</v>
      </c>
    </row>
    <row r="367" spans="1:28" ht="15" customHeight="1" x14ac:dyDescent="0.35">
      <c r="A367" s="264"/>
      <c r="B367" s="268"/>
      <c r="C367" s="270"/>
      <c r="D367" s="50" t="s">
        <v>17</v>
      </c>
      <c r="E367" s="50" t="s">
        <v>161</v>
      </c>
      <c r="F367" s="71" t="s">
        <v>36</v>
      </c>
      <c r="G367" s="27" t="s">
        <v>55</v>
      </c>
      <c r="H367" s="27">
        <v>4</v>
      </c>
      <c r="I367" s="45">
        <v>5860</v>
      </c>
      <c r="J367" s="45">
        <v>18190</v>
      </c>
      <c r="K367" s="45">
        <v>0</v>
      </c>
      <c r="L367" s="45"/>
      <c r="M367" s="45"/>
      <c r="N367" s="45"/>
      <c r="O367" s="45">
        <v>0</v>
      </c>
      <c r="P367" s="118">
        <v>18190</v>
      </c>
      <c r="Q367" s="76">
        <v>0</v>
      </c>
      <c r="R367" s="32">
        <f t="shared" si="199"/>
        <v>0</v>
      </c>
      <c r="S367" s="76">
        <f t="shared" si="200"/>
        <v>18190</v>
      </c>
      <c r="T367" s="76"/>
      <c r="U367" s="32">
        <f t="shared" si="201"/>
        <v>18190</v>
      </c>
      <c r="V367" s="32"/>
      <c r="W367" s="76">
        <v>0</v>
      </c>
      <c r="X367" s="60">
        <v>9190</v>
      </c>
      <c r="Y367" s="60">
        <v>9000</v>
      </c>
      <c r="Z367" s="32">
        <f t="shared" si="202"/>
        <v>0</v>
      </c>
      <c r="AA367" s="34" t="s">
        <v>451</v>
      </c>
      <c r="AB367" s="127" t="s">
        <v>606</v>
      </c>
    </row>
    <row r="368" spans="1:28" ht="15" customHeight="1" x14ac:dyDescent="0.35">
      <c r="A368" s="264"/>
      <c r="B368" s="268"/>
      <c r="C368" s="270"/>
      <c r="D368" s="50" t="s">
        <v>17</v>
      </c>
      <c r="E368" s="50" t="s">
        <v>161</v>
      </c>
      <c r="F368" s="71" t="s">
        <v>69</v>
      </c>
      <c r="G368" s="27" t="s">
        <v>55</v>
      </c>
      <c r="H368" s="27">
        <v>20</v>
      </c>
      <c r="I368" s="45">
        <v>1100</v>
      </c>
      <c r="J368" s="45">
        <v>22000</v>
      </c>
      <c r="K368" s="45">
        <v>0</v>
      </c>
      <c r="L368" s="45"/>
      <c r="M368" s="45"/>
      <c r="N368" s="45"/>
      <c r="O368" s="45">
        <v>0</v>
      </c>
      <c r="P368" s="118">
        <v>22000</v>
      </c>
      <c r="Q368" s="76">
        <v>0</v>
      </c>
      <c r="R368" s="32">
        <f t="shared" si="199"/>
        <v>0</v>
      </c>
      <c r="S368" s="76">
        <f t="shared" si="200"/>
        <v>22000</v>
      </c>
      <c r="T368" s="76"/>
      <c r="U368" s="32">
        <f t="shared" si="201"/>
        <v>22000</v>
      </c>
      <c r="V368" s="76">
        <v>20000</v>
      </c>
      <c r="W368" s="76"/>
      <c r="X368" s="60">
        <v>10000</v>
      </c>
      <c r="Y368" s="60">
        <v>10000</v>
      </c>
      <c r="Z368" s="32">
        <f t="shared" si="202"/>
        <v>2000</v>
      </c>
      <c r="AA368" s="34" t="s">
        <v>452</v>
      </c>
      <c r="AB368" s="127" t="s">
        <v>607</v>
      </c>
    </row>
    <row r="369" spans="1:30" ht="46" customHeight="1" x14ac:dyDescent="0.35">
      <c r="A369" s="264"/>
      <c r="B369" s="268"/>
      <c r="C369" s="270"/>
      <c r="D369" s="50" t="s">
        <v>17</v>
      </c>
      <c r="E369" s="50" t="s">
        <v>161</v>
      </c>
      <c r="F369" s="71" t="s">
        <v>118</v>
      </c>
      <c r="G369" s="27" t="s">
        <v>86</v>
      </c>
      <c r="H369" s="27">
        <v>1</v>
      </c>
      <c r="I369" s="45">
        <v>350000</v>
      </c>
      <c r="J369" s="45">
        <v>220000</v>
      </c>
      <c r="K369" s="45">
        <v>0</v>
      </c>
      <c r="L369" s="45"/>
      <c r="M369" s="45"/>
      <c r="N369" s="45"/>
      <c r="O369" s="45">
        <v>0</v>
      </c>
      <c r="P369" s="118">
        <v>220000</v>
      </c>
      <c r="Q369" s="76">
        <v>2325</v>
      </c>
      <c r="R369" s="249">
        <f t="shared" si="199"/>
        <v>2325</v>
      </c>
      <c r="S369" s="250">
        <f t="shared" si="200"/>
        <v>217675</v>
      </c>
      <c r="T369" s="250"/>
      <c r="U369" s="249">
        <f t="shared" si="201"/>
        <v>217675</v>
      </c>
      <c r="V369" s="250">
        <v>40000</v>
      </c>
      <c r="W369" s="250"/>
      <c r="X369" s="251">
        <v>37675</v>
      </c>
      <c r="Y369" s="251">
        <f>30000</f>
        <v>30000</v>
      </c>
      <c r="Z369" s="32">
        <f t="shared" si="202"/>
        <v>150000</v>
      </c>
      <c r="AA369" s="34" t="s">
        <v>453</v>
      </c>
      <c r="AB369" s="234" t="s">
        <v>1113</v>
      </c>
    </row>
    <row r="370" spans="1:30" ht="15" customHeight="1" x14ac:dyDescent="0.35">
      <c r="A370" s="264"/>
      <c r="B370" s="268"/>
      <c r="C370" s="270"/>
      <c r="D370" s="50" t="s">
        <v>17</v>
      </c>
      <c r="E370" s="50" t="s">
        <v>161</v>
      </c>
      <c r="F370" s="71" t="s">
        <v>132</v>
      </c>
      <c r="G370" s="27" t="s">
        <v>86</v>
      </c>
      <c r="H370" s="27">
        <v>1</v>
      </c>
      <c r="I370" s="45">
        <v>210000</v>
      </c>
      <c r="J370" s="45">
        <v>191975</v>
      </c>
      <c r="K370" s="45">
        <v>0</v>
      </c>
      <c r="L370" s="45"/>
      <c r="M370" s="45">
        <v>216.45</v>
      </c>
      <c r="N370" s="45">
        <v>0</v>
      </c>
      <c r="O370" s="45">
        <v>1835.78</v>
      </c>
      <c r="P370" s="118">
        <v>189922.77</v>
      </c>
      <c r="Q370" s="76">
        <v>71077.37</v>
      </c>
      <c r="R370" s="32">
        <f t="shared" si="199"/>
        <v>73129.599999999991</v>
      </c>
      <c r="S370" s="76">
        <f t="shared" si="200"/>
        <v>116793.17</v>
      </c>
      <c r="T370" s="76"/>
      <c r="U370" s="32">
        <f t="shared" si="201"/>
        <v>118845.4</v>
      </c>
      <c r="V370" s="76">
        <v>40000</v>
      </c>
      <c r="W370" s="76"/>
      <c r="X370" s="60">
        <v>50000</v>
      </c>
      <c r="Y370" s="60">
        <v>50000</v>
      </c>
      <c r="Z370" s="32">
        <f t="shared" si="202"/>
        <v>18845.399999999994</v>
      </c>
      <c r="AA370" s="34" t="s">
        <v>454</v>
      </c>
      <c r="AB370" s="127" t="s">
        <v>608</v>
      </c>
    </row>
    <row r="371" spans="1:30" ht="15" customHeight="1" x14ac:dyDescent="0.35">
      <c r="A371" s="264"/>
      <c r="B371" s="268"/>
      <c r="C371" s="270"/>
      <c r="D371" s="50" t="s">
        <v>17</v>
      </c>
      <c r="E371" s="50" t="s">
        <v>161</v>
      </c>
      <c r="F371" s="71" t="s">
        <v>53</v>
      </c>
      <c r="G371" s="27" t="s">
        <v>86</v>
      </c>
      <c r="H371" s="27">
        <v>10</v>
      </c>
      <c r="I371" s="45">
        <v>5000</v>
      </c>
      <c r="J371" s="45">
        <v>50000</v>
      </c>
      <c r="K371" s="45">
        <v>0</v>
      </c>
      <c r="L371" s="45"/>
      <c r="M371" s="45"/>
      <c r="N371" s="45"/>
      <c r="O371" s="45">
        <v>0</v>
      </c>
      <c r="P371" s="118">
        <v>50000</v>
      </c>
      <c r="Q371" s="76">
        <v>0</v>
      </c>
      <c r="R371" s="32">
        <f t="shared" si="199"/>
        <v>0</v>
      </c>
      <c r="S371" s="76">
        <f t="shared" si="200"/>
        <v>50000</v>
      </c>
      <c r="T371" s="76"/>
      <c r="U371" s="32">
        <f t="shared" si="201"/>
        <v>50000</v>
      </c>
      <c r="V371" s="32">
        <v>7000</v>
      </c>
      <c r="W371" s="76">
        <v>7000</v>
      </c>
      <c r="X371" s="60">
        <v>25000</v>
      </c>
      <c r="Y371" s="60">
        <v>25000</v>
      </c>
      <c r="Z371" s="32">
        <f t="shared" si="202"/>
        <v>-7000</v>
      </c>
      <c r="AA371" s="34" t="s">
        <v>455</v>
      </c>
      <c r="AB371" s="127" t="s">
        <v>609</v>
      </c>
    </row>
    <row r="372" spans="1:30" ht="15" customHeight="1" x14ac:dyDescent="0.35">
      <c r="A372" s="264"/>
      <c r="B372" s="268"/>
      <c r="C372" s="270"/>
      <c r="D372" s="50" t="s">
        <v>17</v>
      </c>
      <c r="E372" s="50" t="s">
        <v>161</v>
      </c>
      <c r="F372" s="71" t="s">
        <v>123</v>
      </c>
      <c r="G372" s="27" t="s">
        <v>86</v>
      </c>
      <c r="H372" s="27">
        <v>4</v>
      </c>
      <c r="I372" s="45">
        <v>2000</v>
      </c>
      <c r="J372" s="45">
        <v>8000</v>
      </c>
      <c r="K372" s="45">
        <v>0</v>
      </c>
      <c r="L372" s="45"/>
      <c r="M372" s="45"/>
      <c r="N372" s="45"/>
      <c r="O372" s="45">
        <v>0</v>
      </c>
      <c r="P372" s="118">
        <v>8000</v>
      </c>
      <c r="Q372" s="76">
        <v>0</v>
      </c>
      <c r="R372" s="32">
        <f t="shared" si="199"/>
        <v>0</v>
      </c>
      <c r="S372" s="76">
        <f t="shared" si="200"/>
        <v>8000</v>
      </c>
      <c r="T372" s="76"/>
      <c r="U372" s="32">
        <f t="shared" si="201"/>
        <v>8000</v>
      </c>
      <c r="V372" s="32">
        <v>104</v>
      </c>
      <c r="W372" s="76">
        <v>1000</v>
      </c>
      <c r="X372" s="60">
        <v>3500</v>
      </c>
      <c r="Y372" s="60">
        <v>3500</v>
      </c>
      <c r="Z372" s="32">
        <f t="shared" si="202"/>
        <v>0</v>
      </c>
      <c r="AA372" s="34" t="s">
        <v>456</v>
      </c>
      <c r="AB372" s="149" t="s">
        <v>2</v>
      </c>
    </row>
    <row r="373" spans="1:30" ht="15" customHeight="1" x14ac:dyDescent="0.35">
      <c r="A373" s="264"/>
      <c r="B373" s="268"/>
      <c r="C373" s="270"/>
      <c r="D373" s="50" t="s">
        <v>17</v>
      </c>
      <c r="E373" s="50" t="s">
        <v>161</v>
      </c>
      <c r="F373" s="71" t="s">
        <v>61</v>
      </c>
      <c r="G373" s="27" t="s">
        <v>62</v>
      </c>
      <c r="H373" s="27">
        <v>1</v>
      </c>
      <c r="I373" s="45">
        <v>2500</v>
      </c>
      <c r="J373" s="45">
        <v>2500</v>
      </c>
      <c r="K373" s="45">
        <v>0</v>
      </c>
      <c r="L373" s="45"/>
      <c r="M373" s="45"/>
      <c r="N373" s="45"/>
      <c r="O373" s="45">
        <v>0</v>
      </c>
      <c r="P373" s="118">
        <v>2500</v>
      </c>
      <c r="Q373" s="76">
        <v>0</v>
      </c>
      <c r="R373" s="32">
        <f t="shared" si="199"/>
        <v>0</v>
      </c>
      <c r="S373" s="76">
        <f t="shared" si="200"/>
        <v>2500</v>
      </c>
      <c r="T373" s="76"/>
      <c r="U373" s="32">
        <f t="shared" si="201"/>
        <v>2500</v>
      </c>
      <c r="V373" s="32"/>
      <c r="W373" s="76"/>
      <c r="X373" s="60">
        <v>2500</v>
      </c>
      <c r="Y373" s="60">
        <v>5000</v>
      </c>
      <c r="Z373" s="32">
        <f t="shared" si="202"/>
        <v>-5000</v>
      </c>
      <c r="AA373" s="34" t="s">
        <v>457</v>
      </c>
      <c r="AB373" s="127"/>
    </row>
    <row r="374" spans="1:30" ht="15" customHeight="1" x14ac:dyDescent="0.35">
      <c r="A374" s="264"/>
      <c r="B374" s="268"/>
      <c r="C374" s="270"/>
      <c r="D374" s="50" t="s">
        <v>17</v>
      </c>
      <c r="E374" s="50" t="s">
        <v>161</v>
      </c>
      <c r="F374" s="71" t="s">
        <v>66</v>
      </c>
      <c r="G374" s="27" t="s">
        <v>62</v>
      </c>
      <c r="H374" s="27">
        <v>4</v>
      </c>
      <c r="I374" s="45">
        <v>300</v>
      </c>
      <c r="J374" s="45">
        <v>1200</v>
      </c>
      <c r="K374" s="45">
        <v>0</v>
      </c>
      <c r="L374" s="45"/>
      <c r="M374" s="45"/>
      <c r="N374" s="45"/>
      <c r="O374" s="45">
        <v>0</v>
      </c>
      <c r="P374" s="118">
        <v>1200</v>
      </c>
      <c r="Q374" s="76">
        <v>0</v>
      </c>
      <c r="R374" s="32">
        <f t="shared" si="199"/>
        <v>0</v>
      </c>
      <c r="S374" s="76">
        <f t="shared" si="200"/>
        <v>1200</v>
      </c>
      <c r="T374" s="76"/>
      <c r="U374" s="32">
        <f t="shared" si="201"/>
        <v>1200</v>
      </c>
      <c r="V374" s="32"/>
      <c r="W374" s="76">
        <v>3000</v>
      </c>
      <c r="X374" s="60">
        <v>3000</v>
      </c>
      <c r="Y374" s="60">
        <v>3000</v>
      </c>
      <c r="Z374" s="32">
        <f t="shared" si="202"/>
        <v>-7800</v>
      </c>
      <c r="AA374" s="34" t="s">
        <v>458</v>
      </c>
      <c r="AB374" s="127"/>
    </row>
    <row r="375" spans="1:30" ht="26" customHeight="1" x14ac:dyDescent="0.35">
      <c r="A375" s="264"/>
      <c r="B375" s="50"/>
      <c r="C375" s="267"/>
      <c r="D375" s="130" t="s">
        <v>17</v>
      </c>
      <c r="E375" s="130" t="s">
        <v>161</v>
      </c>
      <c r="F375" s="145" t="s">
        <v>39</v>
      </c>
      <c r="G375" s="132"/>
      <c r="H375" s="132"/>
      <c r="I375" s="138"/>
      <c r="J375" s="138"/>
      <c r="K375" s="138"/>
      <c r="L375" s="138"/>
      <c r="M375" s="138"/>
      <c r="N375" s="138"/>
      <c r="O375" s="138"/>
      <c r="P375" s="138"/>
      <c r="Q375" s="134">
        <v>0</v>
      </c>
      <c r="R375" s="32">
        <f t="shared" si="199"/>
        <v>0</v>
      </c>
      <c r="S375" s="134"/>
      <c r="T375" s="134"/>
      <c r="U375" s="32">
        <f t="shared" si="201"/>
        <v>0</v>
      </c>
      <c r="V375" s="32"/>
      <c r="W375" s="134">
        <v>3000</v>
      </c>
      <c r="X375" s="60">
        <v>10000</v>
      </c>
      <c r="Y375" s="60">
        <v>10000</v>
      </c>
      <c r="Z375" s="32">
        <f t="shared" si="202"/>
        <v>-23000</v>
      </c>
      <c r="AA375" s="136" t="s">
        <v>459</v>
      </c>
      <c r="AB375" s="137" t="s">
        <v>610</v>
      </c>
    </row>
    <row r="376" spans="1:30" ht="15" customHeight="1" x14ac:dyDescent="0.35">
      <c r="A376" s="264"/>
      <c r="B376" s="50"/>
      <c r="C376" s="53"/>
      <c r="D376" s="53"/>
      <c r="E376" s="53"/>
      <c r="F376" s="74"/>
      <c r="G376" s="41"/>
      <c r="H376" s="41"/>
      <c r="I376" s="54"/>
      <c r="J376" s="54">
        <f>SUM(J364:J374)</f>
        <v>1081050</v>
      </c>
      <c r="K376" s="54">
        <f>SUM(K364:K374)</f>
        <v>0</v>
      </c>
      <c r="L376" s="54">
        <f>SUM(L364:L374)</f>
        <v>0</v>
      </c>
      <c r="M376" s="54">
        <v>216.45</v>
      </c>
      <c r="N376" s="54">
        <v>0</v>
      </c>
      <c r="O376" s="54">
        <v>1835.78</v>
      </c>
      <c r="P376" s="54">
        <f>SUM(P364:P375)</f>
        <v>1078997.77</v>
      </c>
      <c r="Q376" s="54">
        <f t="shared" ref="Q376:Z376" si="203">SUM(Q364:Q375)</f>
        <v>129361.12</v>
      </c>
      <c r="R376" s="54">
        <f t="shared" si="203"/>
        <v>131413.34999999998</v>
      </c>
      <c r="S376" s="54">
        <f t="shared" si="203"/>
        <v>947584.42</v>
      </c>
      <c r="T376" s="54">
        <f t="shared" si="203"/>
        <v>0</v>
      </c>
      <c r="U376" s="54">
        <f t="shared" si="203"/>
        <v>949636.65</v>
      </c>
      <c r="V376" s="54">
        <f t="shared" si="203"/>
        <v>229604</v>
      </c>
      <c r="W376" s="54">
        <f t="shared" si="203"/>
        <v>47500</v>
      </c>
      <c r="X376" s="54">
        <f t="shared" si="203"/>
        <v>273365</v>
      </c>
      <c r="Y376" s="54">
        <f t="shared" si="203"/>
        <v>308000</v>
      </c>
      <c r="Z376" s="54">
        <f t="shared" si="203"/>
        <v>320771.65000000002</v>
      </c>
      <c r="AA376" s="49"/>
      <c r="AB376" s="128"/>
    </row>
    <row r="377" spans="1:30" ht="15" customHeight="1" x14ac:dyDescent="0.35">
      <c r="A377" s="264"/>
      <c r="B377" s="50"/>
      <c r="C377" s="50" t="s">
        <v>275</v>
      </c>
      <c r="D377" s="50" t="s">
        <v>17</v>
      </c>
      <c r="E377" s="50"/>
      <c r="F377" s="71" t="s">
        <v>275</v>
      </c>
      <c r="G377" s="27" t="s">
        <v>86</v>
      </c>
      <c r="H377" s="27">
        <v>1</v>
      </c>
      <c r="I377" s="45">
        <v>96428</v>
      </c>
      <c r="J377" s="45">
        <v>96428</v>
      </c>
      <c r="K377" s="45">
        <v>0</v>
      </c>
      <c r="L377" s="45"/>
      <c r="M377" s="45"/>
      <c r="N377" s="45"/>
      <c r="O377" s="45"/>
      <c r="P377" s="118">
        <v>96428</v>
      </c>
      <c r="Q377" s="150"/>
      <c r="R377" s="32">
        <f t="shared" ref="R377" si="204">L377+M377+N377+O377+Q377</f>
        <v>0</v>
      </c>
      <c r="S377" s="60">
        <f>P377-R377</f>
        <v>96428</v>
      </c>
      <c r="T377" s="60"/>
      <c r="U377" s="32">
        <f t="shared" ref="U377" si="205">P377-Q377</f>
        <v>96428</v>
      </c>
      <c r="V377" s="32"/>
      <c r="W377" s="76"/>
      <c r="X377" s="60"/>
      <c r="Y377" s="60"/>
      <c r="Z377" s="32">
        <v>31194.19</v>
      </c>
      <c r="AA377" s="34" t="s">
        <v>460</v>
      </c>
      <c r="AB377" s="127" t="s">
        <v>1153</v>
      </c>
    </row>
    <row r="378" spans="1:30" ht="15" customHeight="1" x14ac:dyDescent="0.35">
      <c r="A378" s="257" t="s">
        <v>277</v>
      </c>
      <c r="B378" s="257"/>
      <c r="C378" s="257"/>
      <c r="D378" s="257"/>
      <c r="E378" s="257"/>
      <c r="F378" s="257"/>
      <c r="G378" s="257"/>
      <c r="H378" s="257"/>
      <c r="I378" s="257"/>
      <c r="J378" s="69">
        <f>J348+J358+J363+J376+J377</f>
        <v>1990655</v>
      </c>
      <c r="K378" s="69">
        <f>K348+K358+K363+K376+K377</f>
        <v>116400</v>
      </c>
      <c r="L378" s="69">
        <f>L348+L358+L363+L376+L377</f>
        <v>0</v>
      </c>
      <c r="M378" s="69">
        <v>18893.39</v>
      </c>
      <c r="N378" s="69">
        <v>14077.54</v>
      </c>
      <c r="O378" s="69">
        <v>62519.97</v>
      </c>
      <c r="P378" s="69">
        <f>P348+P358+P363+P376+P377</f>
        <v>1895164.0999999999</v>
      </c>
      <c r="Q378" s="69">
        <f t="shared" ref="Q378:Z378" si="206">Q348+Q358+Q363+Q376+Q377</f>
        <v>363360.27</v>
      </c>
      <c r="R378" s="69">
        <f t="shared" si="206"/>
        <v>458851.17</v>
      </c>
      <c r="S378" s="69">
        <f t="shared" si="206"/>
        <v>1436312.9300000002</v>
      </c>
      <c r="T378" s="69">
        <f t="shared" si="206"/>
        <v>0</v>
      </c>
      <c r="U378" s="69">
        <f t="shared" si="206"/>
        <v>1531803.83</v>
      </c>
      <c r="V378" s="69">
        <f t="shared" si="206"/>
        <v>319039.26500000001</v>
      </c>
      <c r="W378" s="69">
        <f t="shared" si="206"/>
        <v>182962.95</v>
      </c>
      <c r="X378" s="69">
        <f t="shared" si="206"/>
        <v>477206.36</v>
      </c>
      <c r="Y378" s="69">
        <f t="shared" si="206"/>
        <v>487361.70999999996</v>
      </c>
      <c r="Z378" s="69">
        <f t="shared" si="206"/>
        <v>319039</v>
      </c>
      <c r="AA378" s="69">
        <f>SUM(AA322:AA377)</f>
        <v>0</v>
      </c>
      <c r="AB378" s="140" t="s">
        <v>2</v>
      </c>
      <c r="AC378" s="247">
        <f>Z378/J378</f>
        <v>0.16026835388352076</v>
      </c>
      <c r="AD378" s="247" t="e">
        <f>#REF!/Z378</f>
        <v>#REF!</v>
      </c>
    </row>
    <row r="379" spans="1:30" ht="15" customHeight="1" x14ac:dyDescent="0.35">
      <c r="A379" s="264" t="s">
        <v>461</v>
      </c>
      <c r="B379" s="268" t="s">
        <v>462</v>
      </c>
      <c r="C379" s="268" t="s">
        <v>463</v>
      </c>
      <c r="D379" s="50" t="s">
        <v>17</v>
      </c>
      <c r="E379" s="50" t="s">
        <v>161</v>
      </c>
      <c r="F379" s="71" t="s">
        <v>57</v>
      </c>
      <c r="G379" s="27" t="s">
        <v>58</v>
      </c>
      <c r="H379" s="27">
        <v>80</v>
      </c>
      <c r="I379" s="45">
        <v>600</v>
      </c>
      <c r="J379" s="45">
        <v>48000</v>
      </c>
      <c r="K379" s="45">
        <v>0</v>
      </c>
      <c r="L379" s="45"/>
      <c r="M379" s="45"/>
      <c r="N379" s="45"/>
      <c r="O379" s="45">
        <v>0</v>
      </c>
      <c r="P379" s="118">
        <v>48000</v>
      </c>
      <c r="Q379" s="76">
        <v>0</v>
      </c>
      <c r="R379" s="32">
        <f t="shared" ref="R379:R388" si="207">L379+M379+N379+O379+Q379</f>
        <v>0</v>
      </c>
      <c r="S379" s="76">
        <f t="shared" ref="S379:S388" si="208">P379-R379</f>
        <v>48000</v>
      </c>
      <c r="T379" s="76"/>
      <c r="U379" s="32">
        <f t="shared" ref="U379:U388" si="209">P379-Q379</f>
        <v>48000</v>
      </c>
      <c r="V379" s="32"/>
      <c r="W379" s="76">
        <v>0</v>
      </c>
      <c r="X379" s="60"/>
      <c r="Y379" s="60"/>
      <c r="Z379" s="32">
        <f t="shared" ref="Z379:Z388" si="210">U379-(W379+X379+Y379)</f>
        <v>48000</v>
      </c>
      <c r="AA379" s="34" t="s">
        <v>464</v>
      </c>
      <c r="AB379" s="127" t="s">
        <v>611</v>
      </c>
    </row>
    <row r="380" spans="1:30" ht="15" customHeight="1" x14ac:dyDescent="0.35">
      <c r="A380" s="264"/>
      <c r="B380" s="268"/>
      <c r="C380" s="268"/>
      <c r="D380" s="50" t="s">
        <v>17</v>
      </c>
      <c r="E380" s="50" t="s">
        <v>161</v>
      </c>
      <c r="F380" s="71" t="s">
        <v>36</v>
      </c>
      <c r="G380" s="27" t="s">
        <v>55</v>
      </c>
      <c r="H380" s="27">
        <v>4</v>
      </c>
      <c r="I380" s="45">
        <v>3750</v>
      </c>
      <c r="J380" s="45">
        <v>15000</v>
      </c>
      <c r="K380" s="45">
        <v>0</v>
      </c>
      <c r="L380" s="45"/>
      <c r="M380" s="45"/>
      <c r="N380" s="45"/>
      <c r="O380" s="45">
        <v>0</v>
      </c>
      <c r="P380" s="118">
        <v>15000</v>
      </c>
      <c r="Q380" s="76">
        <v>0</v>
      </c>
      <c r="R380" s="32">
        <f t="shared" si="207"/>
        <v>0</v>
      </c>
      <c r="S380" s="76">
        <f t="shared" si="208"/>
        <v>15000</v>
      </c>
      <c r="T380" s="76"/>
      <c r="U380" s="32">
        <f t="shared" si="209"/>
        <v>15000</v>
      </c>
      <c r="V380" s="32"/>
      <c r="W380" s="76"/>
      <c r="X380" s="60"/>
      <c r="Y380" s="60"/>
      <c r="Z380" s="32">
        <f t="shared" si="210"/>
        <v>15000</v>
      </c>
      <c r="AA380" s="34" t="s">
        <v>465</v>
      </c>
      <c r="AB380" s="127" t="s">
        <v>612</v>
      </c>
    </row>
    <row r="381" spans="1:30" ht="15" customHeight="1" x14ac:dyDescent="0.35">
      <c r="A381" s="264"/>
      <c r="B381" s="268"/>
      <c r="C381" s="268"/>
      <c r="D381" s="50" t="s">
        <v>17</v>
      </c>
      <c r="E381" s="50" t="s">
        <v>161</v>
      </c>
      <c r="F381" s="71" t="s">
        <v>438</v>
      </c>
      <c r="G381" s="27" t="s">
        <v>439</v>
      </c>
      <c r="H381" s="27">
        <v>1</v>
      </c>
      <c r="I381" s="45"/>
      <c r="J381" s="45">
        <v>0</v>
      </c>
      <c r="K381" s="45">
        <v>0</v>
      </c>
      <c r="L381" s="45"/>
      <c r="M381" s="45"/>
      <c r="N381" s="45"/>
      <c r="O381" s="45">
        <v>0</v>
      </c>
      <c r="P381" s="118">
        <v>0</v>
      </c>
      <c r="Q381" s="76">
        <v>0</v>
      </c>
      <c r="R381" s="32">
        <f t="shared" si="207"/>
        <v>0</v>
      </c>
      <c r="S381" s="76">
        <f t="shared" si="208"/>
        <v>0</v>
      </c>
      <c r="T381" s="76"/>
      <c r="U381" s="32">
        <f t="shared" si="209"/>
        <v>0</v>
      </c>
      <c r="V381" s="32"/>
      <c r="W381" s="76">
        <v>26401</v>
      </c>
      <c r="X381" s="60">
        <v>150000</v>
      </c>
      <c r="Y381" s="60">
        <f>150000+20000</f>
        <v>170000</v>
      </c>
      <c r="Z381" s="32">
        <f t="shared" si="210"/>
        <v>-346401</v>
      </c>
      <c r="AA381" s="34" t="s">
        <v>466</v>
      </c>
      <c r="AB381" s="234" t="s">
        <v>1115</v>
      </c>
    </row>
    <row r="382" spans="1:30" ht="15" customHeight="1" x14ac:dyDescent="0.35">
      <c r="A382" s="264"/>
      <c r="B382" s="268"/>
      <c r="C382" s="268"/>
      <c r="D382" s="50" t="s">
        <v>33</v>
      </c>
      <c r="E382" s="50" t="s">
        <v>34</v>
      </c>
      <c r="F382" s="71" t="s">
        <v>28</v>
      </c>
      <c r="G382" s="27" t="s">
        <v>29</v>
      </c>
      <c r="H382" s="27">
        <v>8</v>
      </c>
      <c r="I382" s="45">
        <v>2000</v>
      </c>
      <c r="J382" s="45">
        <v>0</v>
      </c>
      <c r="K382" s="45">
        <v>26000</v>
      </c>
      <c r="L382" s="45"/>
      <c r="M382" s="45"/>
      <c r="N382" s="45"/>
      <c r="O382" s="45">
        <v>0</v>
      </c>
      <c r="P382" s="118">
        <v>0</v>
      </c>
      <c r="Q382" s="76">
        <v>0</v>
      </c>
      <c r="R382" s="32">
        <f t="shared" si="207"/>
        <v>0</v>
      </c>
      <c r="S382" s="76">
        <f t="shared" si="208"/>
        <v>0</v>
      </c>
      <c r="T382" s="76"/>
      <c r="U382" s="32">
        <f t="shared" si="209"/>
        <v>0</v>
      </c>
      <c r="V382" s="32"/>
      <c r="W382" s="76"/>
      <c r="X382" s="76"/>
      <c r="Y382" s="76"/>
      <c r="Z382" s="32">
        <f t="shared" si="210"/>
        <v>0</v>
      </c>
      <c r="AA382" s="34" t="s">
        <v>467</v>
      </c>
      <c r="AB382" s="234" t="s">
        <v>1114</v>
      </c>
    </row>
    <row r="383" spans="1:30" ht="15" customHeight="1" x14ac:dyDescent="0.35">
      <c r="A383" s="264"/>
      <c r="B383" s="268"/>
      <c r="C383" s="268"/>
      <c r="D383" s="50" t="s">
        <v>33</v>
      </c>
      <c r="E383" s="50" t="s">
        <v>34</v>
      </c>
      <c r="F383" s="71" t="s">
        <v>73</v>
      </c>
      <c r="G383" s="27" t="s">
        <v>86</v>
      </c>
      <c r="H383" s="27">
        <v>2</v>
      </c>
      <c r="I383" s="45">
        <v>500</v>
      </c>
      <c r="J383" s="45">
        <v>0</v>
      </c>
      <c r="K383" s="45">
        <v>1000</v>
      </c>
      <c r="L383" s="45"/>
      <c r="M383" s="45"/>
      <c r="N383" s="45"/>
      <c r="O383" s="45">
        <v>0</v>
      </c>
      <c r="P383" s="118">
        <v>0</v>
      </c>
      <c r="Q383" s="76">
        <v>0</v>
      </c>
      <c r="R383" s="32">
        <f t="shared" si="207"/>
        <v>0</v>
      </c>
      <c r="S383" s="76">
        <f t="shared" si="208"/>
        <v>0</v>
      </c>
      <c r="T383" s="76"/>
      <c r="U383" s="32">
        <f t="shared" si="209"/>
        <v>0</v>
      </c>
      <c r="V383" s="32"/>
      <c r="W383" s="76"/>
      <c r="X383" s="60"/>
      <c r="Y383" s="60"/>
      <c r="Z383" s="32">
        <f t="shared" si="210"/>
        <v>0</v>
      </c>
      <c r="AA383" s="34" t="s">
        <v>468</v>
      </c>
      <c r="AB383" s="127"/>
    </row>
    <row r="384" spans="1:30" ht="15" customHeight="1" x14ac:dyDescent="0.35">
      <c r="A384" s="264"/>
      <c r="B384" s="268"/>
      <c r="C384" s="268"/>
      <c r="D384" s="50" t="s">
        <v>17</v>
      </c>
      <c r="E384" s="50" t="s">
        <v>161</v>
      </c>
      <c r="F384" s="71" t="s">
        <v>57</v>
      </c>
      <c r="G384" s="27" t="s">
        <v>58</v>
      </c>
      <c r="H384" s="27">
        <v>80</v>
      </c>
      <c r="I384" s="45">
        <v>500</v>
      </c>
      <c r="J384" s="45">
        <v>84895</v>
      </c>
      <c r="K384" s="45">
        <v>0</v>
      </c>
      <c r="L384" s="45"/>
      <c r="M384" s="45">
        <v>84896.4</v>
      </c>
      <c r="N384" s="45"/>
      <c r="O384" s="45">
        <v>0</v>
      </c>
      <c r="P384" s="118">
        <v>-1.3999999999941792</v>
      </c>
      <c r="Q384" s="76">
        <v>0</v>
      </c>
      <c r="R384" s="32">
        <f t="shared" si="207"/>
        <v>84896.4</v>
      </c>
      <c r="S384" s="76">
        <f t="shared" si="208"/>
        <v>-84897.799999999988</v>
      </c>
      <c r="T384" s="76"/>
      <c r="U384" s="32">
        <f t="shared" si="209"/>
        <v>-1.3999999999941792</v>
      </c>
      <c r="V384" s="32"/>
      <c r="W384" s="76"/>
      <c r="X384" s="60"/>
      <c r="Y384" s="60"/>
      <c r="Z384" s="32">
        <f t="shared" si="210"/>
        <v>-1.3999999999941792</v>
      </c>
      <c r="AA384" s="34" t="s">
        <v>469</v>
      </c>
      <c r="AB384" s="127"/>
    </row>
    <row r="385" spans="1:28" ht="15" customHeight="1" x14ac:dyDescent="0.35">
      <c r="A385" s="264"/>
      <c r="B385" s="268"/>
      <c r="C385" s="268"/>
      <c r="D385" s="50" t="s">
        <v>17</v>
      </c>
      <c r="E385" s="50" t="s">
        <v>161</v>
      </c>
      <c r="F385" s="71" t="s">
        <v>39</v>
      </c>
      <c r="G385" s="27" t="s">
        <v>40</v>
      </c>
      <c r="H385" s="27">
        <v>2</v>
      </c>
      <c r="I385" s="45">
        <v>6750</v>
      </c>
      <c r="J385" s="45">
        <v>0</v>
      </c>
      <c r="K385" s="45">
        <v>0</v>
      </c>
      <c r="L385" s="45"/>
      <c r="M385" s="45">
        <v>3396.44</v>
      </c>
      <c r="N385" s="45"/>
      <c r="O385" s="45">
        <v>0</v>
      </c>
      <c r="P385" s="118">
        <v>-3396.44</v>
      </c>
      <c r="Q385" s="76">
        <v>0</v>
      </c>
      <c r="R385" s="32">
        <f t="shared" si="207"/>
        <v>3396.44</v>
      </c>
      <c r="S385" s="76">
        <f t="shared" si="208"/>
        <v>-6792.88</v>
      </c>
      <c r="T385" s="76"/>
      <c r="U385" s="32">
        <f t="shared" si="209"/>
        <v>-3396.44</v>
      </c>
      <c r="V385" s="32"/>
      <c r="W385" s="76"/>
      <c r="X385" s="60"/>
      <c r="Y385" s="60"/>
      <c r="Z385" s="32">
        <f t="shared" si="210"/>
        <v>-3396.44</v>
      </c>
      <c r="AA385" s="34" t="s">
        <v>470</v>
      </c>
      <c r="AB385" s="127"/>
    </row>
    <row r="386" spans="1:28" ht="15" customHeight="1" x14ac:dyDescent="0.35">
      <c r="A386" s="264"/>
      <c r="B386" s="268"/>
      <c r="C386" s="268"/>
      <c r="D386" s="50" t="s">
        <v>17</v>
      </c>
      <c r="E386" s="50" t="s">
        <v>34</v>
      </c>
      <c r="F386" s="71" t="s">
        <v>36</v>
      </c>
      <c r="G386" s="27"/>
      <c r="H386" s="27"/>
      <c r="I386" s="45"/>
      <c r="J386" s="45">
        <v>0</v>
      </c>
      <c r="K386" s="45">
        <v>0</v>
      </c>
      <c r="L386" s="45"/>
      <c r="M386" s="45">
        <v>3768.08</v>
      </c>
      <c r="N386" s="45"/>
      <c r="O386" s="45">
        <v>0</v>
      </c>
      <c r="P386" s="118">
        <v>-3768.08</v>
      </c>
      <c r="Q386" s="76">
        <v>0</v>
      </c>
      <c r="R386" s="32">
        <f t="shared" si="207"/>
        <v>3768.08</v>
      </c>
      <c r="S386" s="76">
        <f t="shared" si="208"/>
        <v>-7536.16</v>
      </c>
      <c r="T386" s="76"/>
      <c r="U386" s="32">
        <f t="shared" si="209"/>
        <v>-3768.08</v>
      </c>
      <c r="V386" s="32"/>
      <c r="W386" s="76"/>
      <c r="X386" s="60"/>
      <c r="Y386" s="60"/>
      <c r="Z386" s="32">
        <f t="shared" si="210"/>
        <v>-3768.08</v>
      </c>
      <c r="AA386" s="34"/>
      <c r="AB386" s="127"/>
    </row>
    <row r="387" spans="1:28" ht="15" customHeight="1" x14ac:dyDescent="0.35">
      <c r="A387" s="264"/>
      <c r="B387" s="268"/>
      <c r="C387" s="268"/>
      <c r="D387" s="50" t="s">
        <v>17</v>
      </c>
      <c r="E387" s="50" t="s">
        <v>34</v>
      </c>
      <c r="F387" s="71" t="s">
        <v>39</v>
      </c>
      <c r="G387" s="27"/>
      <c r="H387" s="27"/>
      <c r="I387" s="45"/>
      <c r="J387" s="45">
        <v>0</v>
      </c>
      <c r="K387" s="45">
        <v>0</v>
      </c>
      <c r="L387" s="45"/>
      <c r="M387" s="45">
        <v>2761.9</v>
      </c>
      <c r="N387" s="45"/>
      <c r="O387" s="45">
        <v>0</v>
      </c>
      <c r="P387" s="118">
        <v>-2761.9</v>
      </c>
      <c r="Q387" s="76"/>
      <c r="R387" s="32">
        <f t="shared" si="207"/>
        <v>2761.9</v>
      </c>
      <c r="S387" s="76">
        <f t="shared" si="208"/>
        <v>-5523.8</v>
      </c>
      <c r="T387" s="76"/>
      <c r="U387" s="32">
        <f t="shared" si="209"/>
        <v>-2761.9</v>
      </c>
      <c r="V387" s="32"/>
      <c r="W387" s="76"/>
      <c r="X387" s="60"/>
      <c r="Y387" s="60"/>
      <c r="Z387" s="32">
        <f t="shared" si="210"/>
        <v>-2761.9</v>
      </c>
      <c r="AA387" s="34"/>
      <c r="AB387" s="127"/>
    </row>
    <row r="388" spans="1:28" s="7" customFormat="1" ht="28" customHeight="1" x14ac:dyDescent="0.25">
      <c r="A388" s="264"/>
      <c r="B388" s="268"/>
      <c r="C388" s="268"/>
      <c r="D388" s="50" t="s">
        <v>17</v>
      </c>
      <c r="E388" s="50" t="s">
        <v>161</v>
      </c>
      <c r="F388" s="71" t="s">
        <v>471</v>
      </c>
      <c r="G388" s="27" t="s">
        <v>40</v>
      </c>
      <c r="H388" s="27">
        <v>2</v>
      </c>
      <c r="I388" s="45">
        <v>6750</v>
      </c>
      <c r="J388" s="45">
        <v>130590</v>
      </c>
      <c r="K388" s="45">
        <v>0</v>
      </c>
      <c r="L388" s="45">
        <v>0</v>
      </c>
      <c r="M388" s="45">
        <v>19111.62</v>
      </c>
      <c r="N388" s="45"/>
      <c r="O388" s="45">
        <v>6801.2</v>
      </c>
      <c r="P388" s="118">
        <v>104677.18</v>
      </c>
      <c r="Q388" s="76">
        <v>734.87</v>
      </c>
      <c r="R388" s="32">
        <f t="shared" si="207"/>
        <v>26647.69</v>
      </c>
      <c r="S388" s="76">
        <f t="shared" si="208"/>
        <v>78029.489999999991</v>
      </c>
      <c r="T388" s="76"/>
      <c r="U388" s="32">
        <f t="shared" si="209"/>
        <v>103942.31</v>
      </c>
      <c r="V388" s="32"/>
      <c r="W388" s="151">
        <v>30000</v>
      </c>
      <c r="X388" s="60">
        <v>37192.949999999997</v>
      </c>
      <c r="Y388" s="60">
        <f>U389-X389-W389</f>
        <v>-86579.460000000021</v>
      </c>
      <c r="Z388" s="32">
        <f t="shared" si="210"/>
        <v>123328.82000000002</v>
      </c>
      <c r="AA388" s="34" t="s">
        <v>472</v>
      </c>
      <c r="AB388" s="234" t="s">
        <v>1107</v>
      </c>
    </row>
    <row r="389" spans="1:28" ht="15" customHeight="1" x14ac:dyDescent="0.35">
      <c r="A389" s="264"/>
      <c r="B389" s="268"/>
      <c r="C389" s="53"/>
      <c r="D389" s="53"/>
      <c r="E389" s="53"/>
      <c r="F389" s="74"/>
      <c r="G389" s="41"/>
      <c r="H389" s="41"/>
      <c r="I389" s="54"/>
      <c r="J389" s="54">
        <f>SUM(J379:J388)</f>
        <v>278485</v>
      </c>
      <c r="K389" s="54">
        <f t="shared" ref="K389:L389" si="211">SUM(K379:K388)</f>
        <v>27000</v>
      </c>
      <c r="L389" s="54">
        <f t="shared" si="211"/>
        <v>0</v>
      </c>
      <c r="M389" s="54">
        <v>113934.43999999999</v>
      </c>
      <c r="N389" s="54">
        <v>0</v>
      </c>
      <c r="O389" s="54">
        <v>6801.2</v>
      </c>
      <c r="P389" s="54">
        <f>SUM(P379:P388)</f>
        <v>157749.35999999999</v>
      </c>
      <c r="Q389" s="54">
        <f>SUM(Q379:Q388)</f>
        <v>734.87</v>
      </c>
      <c r="R389" s="54">
        <f t="shared" ref="R389:Z389" si="212">SUM(R379:R388)</f>
        <v>121470.51</v>
      </c>
      <c r="S389" s="54">
        <f t="shared" si="212"/>
        <v>36278.85</v>
      </c>
      <c r="T389" s="54">
        <f t="shared" si="212"/>
        <v>0</v>
      </c>
      <c r="U389" s="54">
        <f t="shared" si="212"/>
        <v>157014.49</v>
      </c>
      <c r="V389" s="54">
        <f t="shared" si="212"/>
        <v>0</v>
      </c>
      <c r="W389" s="54">
        <f t="shared" ref="W389" si="213">SUM(W379:W388)</f>
        <v>56401</v>
      </c>
      <c r="X389" s="54">
        <f t="shared" si="212"/>
        <v>187192.95</v>
      </c>
      <c r="Y389" s="54">
        <f>SUM(Y379:Y388)</f>
        <v>83420.539999999979</v>
      </c>
      <c r="Z389" s="54">
        <f t="shared" si="212"/>
        <v>-170000.00000000006</v>
      </c>
      <c r="AA389" s="49"/>
      <c r="AB389" s="128"/>
    </row>
    <row r="390" spans="1:28" ht="15" customHeight="1" x14ac:dyDescent="0.35">
      <c r="A390" s="264"/>
      <c r="B390" s="268"/>
      <c r="C390" s="268" t="s">
        <v>473</v>
      </c>
      <c r="D390" s="50" t="s">
        <v>17</v>
      </c>
      <c r="E390" s="50" t="s">
        <v>161</v>
      </c>
      <c r="F390" s="71" t="s">
        <v>118</v>
      </c>
      <c r="G390" s="27" t="s">
        <v>86</v>
      </c>
      <c r="H390" s="27">
        <v>1</v>
      </c>
      <c r="I390" s="45">
        <v>26000</v>
      </c>
      <c r="J390" s="45">
        <v>26000</v>
      </c>
      <c r="K390" s="45">
        <v>0</v>
      </c>
      <c r="L390" s="45"/>
      <c r="M390" s="45"/>
      <c r="N390" s="45">
        <v>12595</v>
      </c>
      <c r="O390" s="45">
        <v>0</v>
      </c>
      <c r="P390" s="118">
        <v>13405</v>
      </c>
      <c r="Q390" s="126">
        <v>0</v>
      </c>
      <c r="R390" s="32">
        <f t="shared" ref="R390:R401" si="214">L390+M390+N390+O390+Q390</f>
        <v>12595</v>
      </c>
      <c r="S390" s="60">
        <f t="shared" ref="S390:S401" si="215">P390-R390</f>
        <v>810</v>
      </c>
      <c r="T390" s="60"/>
      <c r="U390" s="32">
        <f t="shared" ref="U390:U401" si="216">P390-Q390</f>
        <v>13405</v>
      </c>
      <c r="V390" s="32"/>
      <c r="W390" s="126"/>
      <c r="X390" s="60">
        <v>7405</v>
      </c>
      <c r="Y390" s="60">
        <v>6000</v>
      </c>
      <c r="Z390" s="32">
        <f t="shared" ref="Z390:Z401" si="217">U390-(W390+X390+Y390)</f>
        <v>0</v>
      </c>
      <c r="AA390" s="34" t="s">
        <v>474</v>
      </c>
      <c r="AB390" s="127" t="s">
        <v>613</v>
      </c>
    </row>
    <row r="391" spans="1:28" ht="15" customHeight="1" x14ac:dyDescent="0.35">
      <c r="A391" s="264"/>
      <c r="B391" s="268"/>
      <c r="C391" s="268"/>
      <c r="D391" s="50" t="s">
        <v>17</v>
      </c>
      <c r="E391" s="50" t="s">
        <v>161</v>
      </c>
      <c r="F391" s="71" t="s">
        <v>53</v>
      </c>
      <c r="G391" s="27" t="s">
        <v>86</v>
      </c>
      <c r="H391" s="27">
        <v>4</v>
      </c>
      <c r="I391" s="45">
        <v>30000</v>
      </c>
      <c r="J391" s="45">
        <v>120000</v>
      </c>
      <c r="K391" s="45">
        <v>0</v>
      </c>
      <c r="L391" s="45"/>
      <c r="M391" s="45"/>
      <c r="N391" s="45"/>
      <c r="O391" s="45">
        <v>2666.64</v>
      </c>
      <c r="P391" s="118">
        <v>117333.36</v>
      </c>
      <c r="Q391" s="126">
        <v>0</v>
      </c>
      <c r="R391" s="32">
        <f t="shared" si="214"/>
        <v>2666.64</v>
      </c>
      <c r="S391" s="60">
        <f t="shared" si="215"/>
        <v>114666.72</v>
      </c>
      <c r="T391" s="60"/>
      <c r="U391" s="32">
        <f t="shared" si="216"/>
        <v>117333.36</v>
      </c>
      <c r="V391" s="32"/>
      <c r="W391" s="126"/>
      <c r="X391" s="60">
        <v>57333.36</v>
      </c>
      <c r="Y391" s="60">
        <v>50000</v>
      </c>
      <c r="Z391" s="32">
        <f t="shared" si="217"/>
        <v>10000</v>
      </c>
      <c r="AA391" s="34" t="s">
        <v>475</v>
      </c>
      <c r="AB391" s="127" t="s">
        <v>1108</v>
      </c>
    </row>
    <row r="392" spans="1:28" ht="15" customHeight="1" x14ac:dyDescent="0.35">
      <c r="A392" s="264"/>
      <c r="B392" s="268"/>
      <c r="C392" s="268"/>
      <c r="D392" s="50" t="s">
        <v>17</v>
      </c>
      <c r="E392" s="50" t="s">
        <v>161</v>
      </c>
      <c r="F392" s="71" t="s">
        <v>57</v>
      </c>
      <c r="G392" s="27" t="s">
        <v>58</v>
      </c>
      <c r="H392" s="27">
        <v>5</v>
      </c>
      <c r="I392" s="45">
        <v>750</v>
      </c>
      <c r="J392" s="45">
        <v>3750</v>
      </c>
      <c r="K392" s="45">
        <v>0</v>
      </c>
      <c r="L392" s="45">
        <v>0</v>
      </c>
      <c r="M392" s="45"/>
      <c r="N392" s="45"/>
      <c r="O392" s="45">
        <v>0</v>
      </c>
      <c r="P392" s="118">
        <v>3750</v>
      </c>
      <c r="Q392" s="126">
        <v>0</v>
      </c>
      <c r="R392" s="32">
        <f t="shared" si="214"/>
        <v>0</v>
      </c>
      <c r="S392" s="60">
        <f t="shared" si="215"/>
        <v>3750</v>
      </c>
      <c r="T392" s="60"/>
      <c r="U392" s="32">
        <f t="shared" si="216"/>
        <v>3750</v>
      </c>
      <c r="V392" s="32"/>
      <c r="W392" s="126"/>
      <c r="X392" s="60"/>
      <c r="Y392" s="60"/>
      <c r="Z392" s="32">
        <f t="shared" si="217"/>
        <v>3750</v>
      </c>
      <c r="AA392" s="34" t="s">
        <v>476</v>
      </c>
      <c r="AB392" s="234" t="s">
        <v>1129</v>
      </c>
    </row>
    <row r="393" spans="1:28" ht="15" customHeight="1" x14ac:dyDescent="0.35">
      <c r="A393" s="264"/>
      <c r="B393" s="268"/>
      <c r="C393" s="268"/>
      <c r="D393" s="50" t="s">
        <v>17</v>
      </c>
      <c r="E393" s="50" t="s">
        <v>161</v>
      </c>
      <c r="F393" s="71" t="s">
        <v>57</v>
      </c>
      <c r="G393" s="27" t="s">
        <v>58</v>
      </c>
      <c r="H393" s="27">
        <v>13</v>
      </c>
      <c r="I393" s="45">
        <v>750</v>
      </c>
      <c r="J393" s="45">
        <v>9750</v>
      </c>
      <c r="K393" s="45">
        <v>0</v>
      </c>
      <c r="L393" s="45"/>
      <c r="M393" s="45">
        <v>9750</v>
      </c>
      <c r="N393" s="45"/>
      <c r="O393" s="45">
        <v>0</v>
      </c>
      <c r="P393" s="118">
        <v>0</v>
      </c>
      <c r="Q393" s="126">
        <v>0</v>
      </c>
      <c r="R393" s="32">
        <f t="shared" si="214"/>
        <v>9750</v>
      </c>
      <c r="S393" s="60">
        <f t="shared" si="215"/>
        <v>-9750</v>
      </c>
      <c r="T393" s="60"/>
      <c r="U393" s="32">
        <f t="shared" si="216"/>
        <v>0</v>
      </c>
      <c r="V393" s="32"/>
      <c r="W393" s="126"/>
      <c r="X393" s="60"/>
      <c r="Y393" s="60"/>
      <c r="Z393" s="32">
        <f t="shared" si="217"/>
        <v>0</v>
      </c>
      <c r="AA393" s="34" t="s">
        <v>477</v>
      </c>
      <c r="AB393" s="127"/>
    </row>
    <row r="394" spans="1:28" ht="15" customHeight="1" x14ac:dyDescent="0.35">
      <c r="A394" s="264"/>
      <c r="B394" s="268"/>
      <c r="C394" s="268"/>
      <c r="D394" s="50" t="s">
        <v>17</v>
      </c>
      <c r="E394" s="50" t="s">
        <v>161</v>
      </c>
      <c r="F394" s="71" t="s">
        <v>36</v>
      </c>
      <c r="G394" s="27" t="s">
        <v>55</v>
      </c>
      <c r="H394" s="27">
        <v>1</v>
      </c>
      <c r="I394" s="45">
        <v>7745</v>
      </c>
      <c r="J394" s="45">
        <v>8562</v>
      </c>
      <c r="K394" s="45">
        <v>0</v>
      </c>
      <c r="L394" s="45">
        <v>0</v>
      </c>
      <c r="M394" s="45">
        <v>8561.68</v>
      </c>
      <c r="N394" s="45"/>
      <c r="O394" s="45">
        <v>0</v>
      </c>
      <c r="P394" s="118">
        <v>0.31999999999970896</v>
      </c>
      <c r="Q394" s="126">
        <v>0</v>
      </c>
      <c r="R394" s="32">
        <f t="shared" si="214"/>
        <v>8561.68</v>
      </c>
      <c r="S394" s="60">
        <f t="shared" si="215"/>
        <v>-8561.36</v>
      </c>
      <c r="T394" s="60"/>
      <c r="U394" s="32">
        <f t="shared" si="216"/>
        <v>0.31999999999970896</v>
      </c>
      <c r="V394" s="32"/>
      <c r="W394" s="126"/>
      <c r="X394" s="60">
        <v>3000</v>
      </c>
      <c r="Y394" s="60"/>
      <c r="Z394" s="32">
        <f t="shared" si="217"/>
        <v>-2999.6800000000003</v>
      </c>
      <c r="AA394" s="34" t="s">
        <v>478</v>
      </c>
      <c r="AB394" s="127"/>
    </row>
    <row r="395" spans="1:28" ht="15" customHeight="1" x14ac:dyDescent="0.35">
      <c r="A395" s="264"/>
      <c r="B395" s="268"/>
      <c r="C395" s="268"/>
      <c r="D395" s="50" t="s">
        <v>17</v>
      </c>
      <c r="E395" s="50" t="s">
        <v>161</v>
      </c>
      <c r="F395" s="71" t="s">
        <v>57</v>
      </c>
      <c r="G395" s="27" t="s">
        <v>58</v>
      </c>
      <c r="H395" s="27">
        <v>20</v>
      </c>
      <c r="I395" s="45">
        <v>600</v>
      </c>
      <c r="J395" s="45">
        <v>12000</v>
      </c>
      <c r="K395" s="45">
        <v>0</v>
      </c>
      <c r="L395" s="45">
        <v>0</v>
      </c>
      <c r="M395" s="45"/>
      <c r="N395" s="45"/>
      <c r="O395" s="45">
        <v>0</v>
      </c>
      <c r="P395" s="118">
        <v>12000</v>
      </c>
      <c r="Q395" s="126">
        <v>0</v>
      </c>
      <c r="R395" s="32">
        <f t="shared" si="214"/>
        <v>0</v>
      </c>
      <c r="S395" s="60">
        <f t="shared" si="215"/>
        <v>12000</v>
      </c>
      <c r="T395" s="60"/>
      <c r="U395" s="32">
        <f t="shared" si="216"/>
        <v>12000</v>
      </c>
      <c r="V395" s="32"/>
      <c r="W395" s="126"/>
      <c r="X395" s="60">
        <v>12000</v>
      </c>
      <c r="Y395" s="60"/>
      <c r="Z395" s="32">
        <f t="shared" si="217"/>
        <v>0</v>
      </c>
      <c r="AA395" s="34" t="s">
        <v>479</v>
      </c>
      <c r="AB395" s="127" t="s">
        <v>2</v>
      </c>
    </row>
    <row r="396" spans="1:28" ht="15" customHeight="1" x14ac:dyDescent="0.35">
      <c r="A396" s="264"/>
      <c r="B396" s="268"/>
      <c r="C396" s="268"/>
      <c r="D396" s="50" t="s">
        <v>17</v>
      </c>
      <c r="E396" s="50" t="s">
        <v>161</v>
      </c>
      <c r="F396" s="71" t="s">
        <v>36</v>
      </c>
      <c r="G396" s="27" t="s">
        <v>55</v>
      </c>
      <c r="H396" s="27">
        <v>2</v>
      </c>
      <c r="I396" s="45">
        <v>3750</v>
      </c>
      <c r="J396" s="45">
        <v>7500</v>
      </c>
      <c r="K396" s="45">
        <v>0</v>
      </c>
      <c r="L396" s="45">
        <v>0</v>
      </c>
      <c r="M396" s="45"/>
      <c r="N396" s="45"/>
      <c r="O396" s="45">
        <v>0</v>
      </c>
      <c r="P396" s="118">
        <v>7500</v>
      </c>
      <c r="Q396" s="126">
        <v>0</v>
      </c>
      <c r="R396" s="32">
        <f t="shared" si="214"/>
        <v>0</v>
      </c>
      <c r="S396" s="60">
        <f t="shared" si="215"/>
        <v>7500</v>
      </c>
      <c r="T396" s="60"/>
      <c r="U396" s="32">
        <f t="shared" si="216"/>
        <v>7500</v>
      </c>
      <c r="V396" s="32"/>
      <c r="W396" s="126"/>
      <c r="X396" s="60">
        <v>4000</v>
      </c>
      <c r="Y396" s="60">
        <v>3500</v>
      </c>
      <c r="Z396" s="32">
        <f t="shared" si="217"/>
        <v>0</v>
      </c>
      <c r="AA396" s="34" t="s">
        <v>480</v>
      </c>
      <c r="AB396" s="127" t="s">
        <v>2</v>
      </c>
    </row>
    <row r="397" spans="1:28" ht="15" customHeight="1" x14ac:dyDescent="0.35">
      <c r="A397" s="264"/>
      <c r="B397" s="268"/>
      <c r="C397" s="268"/>
      <c r="D397" s="50" t="s">
        <v>17</v>
      </c>
      <c r="E397" s="50" t="s">
        <v>161</v>
      </c>
      <c r="F397" s="71" t="s">
        <v>39</v>
      </c>
      <c r="G397" s="27" t="s">
        <v>40</v>
      </c>
      <c r="H397" s="27">
        <v>4</v>
      </c>
      <c r="I397" s="45">
        <v>2000</v>
      </c>
      <c r="J397" s="45">
        <v>8000</v>
      </c>
      <c r="K397" s="45">
        <v>0</v>
      </c>
      <c r="L397" s="45"/>
      <c r="M397" s="45"/>
      <c r="N397" s="45"/>
      <c r="O397" s="45">
        <v>2253.7800000000002</v>
      </c>
      <c r="P397" s="118">
        <v>5746.2199999999993</v>
      </c>
      <c r="Q397" s="126">
        <v>0</v>
      </c>
      <c r="R397" s="32">
        <f t="shared" si="214"/>
        <v>2253.7800000000002</v>
      </c>
      <c r="S397" s="60">
        <f t="shared" si="215"/>
        <v>3492.4399999999991</v>
      </c>
      <c r="T397" s="60"/>
      <c r="U397" s="32">
        <f t="shared" si="216"/>
        <v>5746.2199999999993</v>
      </c>
      <c r="V397" s="32"/>
      <c r="W397" s="126">
        <v>0</v>
      </c>
      <c r="X397" s="60">
        <v>4000</v>
      </c>
      <c r="Y397" s="60">
        <v>4000</v>
      </c>
      <c r="Z397" s="32">
        <f t="shared" si="217"/>
        <v>-2253.7800000000007</v>
      </c>
      <c r="AA397" s="34" t="s">
        <v>481</v>
      </c>
      <c r="AB397" s="127" t="s">
        <v>2</v>
      </c>
    </row>
    <row r="398" spans="1:28" ht="15" customHeight="1" x14ac:dyDescent="0.35">
      <c r="A398" s="264"/>
      <c r="B398" s="268"/>
      <c r="C398" s="268"/>
      <c r="D398" s="50" t="s">
        <v>17</v>
      </c>
      <c r="E398" s="50" t="s">
        <v>161</v>
      </c>
      <c r="F398" s="71" t="s">
        <v>120</v>
      </c>
      <c r="G398" s="27" t="s">
        <v>58</v>
      </c>
      <c r="H398" s="27">
        <v>120</v>
      </c>
      <c r="I398" s="45">
        <v>250</v>
      </c>
      <c r="J398" s="45">
        <v>30000</v>
      </c>
      <c r="K398" s="45">
        <v>0</v>
      </c>
      <c r="L398" s="45"/>
      <c r="M398" s="45"/>
      <c r="N398" s="45"/>
      <c r="O398" s="45">
        <v>0</v>
      </c>
      <c r="P398" s="118">
        <v>30000</v>
      </c>
      <c r="Q398" s="126">
        <v>0</v>
      </c>
      <c r="R398" s="32">
        <f t="shared" si="214"/>
        <v>0</v>
      </c>
      <c r="S398" s="60">
        <f t="shared" si="215"/>
        <v>30000</v>
      </c>
      <c r="T398" s="60"/>
      <c r="U398" s="32">
        <f t="shared" si="216"/>
        <v>30000</v>
      </c>
      <c r="V398" s="32"/>
      <c r="W398" s="126">
        <v>0</v>
      </c>
      <c r="X398" s="60"/>
      <c r="Y398" s="60"/>
      <c r="Z398" s="32">
        <f t="shared" si="217"/>
        <v>30000</v>
      </c>
      <c r="AA398" s="34" t="s">
        <v>482</v>
      </c>
      <c r="AB398" s="152" t="s">
        <v>614</v>
      </c>
    </row>
    <row r="399" spans="1:28" ht="15" customHeight="1" x14ac:dyDescent="0.35">
      <c r="A399" s="264"/>
      <c r="B399" s="268"/>
      <c r="C399" s="268"/>
      <c r="D399" s="50" t="s">
        <v>17</v>
      </c>
      <c r="E399" s="50" t="s">
        <v>161</v>
      </c>
      <c r="F399" s="71" t="s">
        <v>69</v>
      </c>
      <c r="G399" s="27" t="s">
        <v>55</v>
      </c>
      <c r="H399" s="27">
        <v>24</v>
      </c>
      <c r="I399" s="45">
        <v>1100</v>
      </c>
      <c r="J399" s="45">
        <v>26400</v>
      </c>
      <c r="K399" s="45">
        <v>0</v>
      </c>
      <c r="L399" s="45"/>
      <c r="M399" s="45"/>
      <c r="N399" s="45"/>
      <c r="O399" s="45">
        <v>0</v>
      </c>
      <c r="P399" s="118">
        <v>26400</v>
      </c>
      <c r="Q399" s="126">
        <v>0</v>
      </c>
      <c r="R399" s="32">
        <f t="shared" si="214"/>
        <v>0</v>
      </c>
      <c r="S399" s="60">
        <f t="shared" si="215"/>
        <v>26400</v>
      </c>
      <c r="T399" s="60"/>
      <c r="U399" s="32">
        <f t="shared" si="216"/>
        <v>26400</v>
      </c>
      <c r="V399" s="32"/>
      <c r="W399" s="126">
        <v>3000</v>
      </c>
      <c r="X399" s="60">
        <v>13400</v>
      </c>
      <c r="Y399" s="60">
        <v>13000</v>
      </c>
      <c r="Z399" s="32">
        <f t="shared" si="217"/>
        <v>-3000</v>
      </c>
      <c r="AA399" s="34" t="s">
        <v>483</v>
      </c>
      <c r="AB399" s="127" t="s">
        <v>615</v>
      </c>
    </row>
    <row r="400" spans="1:28" ht="15" customHeight="1" x14ac:dyDescent="0.35">
      <c r="A400" s="264"/>
      <c r="B400" s="268"/>
      <c r="C400" s="268"/>
      <c r="D400" s="50" t="s">
        <v>17</v>
      </c>
      <c r="E400" s="50" t="s">
        <v>161</v>
      </c>
      <c r="F400" s="71" t="s">
        <v>53</v>
      </c>
      <c r="G400" s="27" t="s">
        <v>86</v>
      </c>
      <c r="H400" s="27">
        <v>3</v>
      </c>
      <c r="I400" s="45">
        <v>9750</v>
      </c>
      <c r="J400" s="45">
        <v>29250</v>
      </c>
      <c r="K400" s="45">
        <v>0</v>
      </c>
      <c r="L400" s="45"/>
      <c r="M400" s="45"/>
      <c r="N400" s="45"/>
      <c r="O400" s="45">
        <v>0</v>
      </c>
      <c r="P400" s="118">
        <v>29250</v>
      </c>
      <c r="Q400" s="126">
        <v>0</v>
      </c>
      <c r="R400" s="32">
        <f t="shared" si="214"/>
        <v>0</v>
      </c>
      <c r="S400" s="60">
        <f t="shared" si="215"/>
        <v>29250</v>
      </c>
      <c r="T400" s="60"/>
      <c r="U400" s="32">
        <f t="shared" si="216"/>
        <v>29250</v>
      </c>
      <c r="V400" s="32"/>
      <c r="W400" s="126">
        <v>5000</v>
      </c>
      <c r="X400" s="60">
        <v>10000</v>
      </c>
      <c r="Y400" s="60">
        <v>14250</v>
      </c>
      <c r="Z400" s="32">
        <f t="shared" si="217"/>
        <v>0</v>
      </c>
      <c r="AA400" s="34" t="s">
        <v>484</v>
      </c>
      <c r="AB400" s="127"/>
    </row>
    <row r="401" spans="1:28" ht="15" customHeight="1" x14ac:dyDescent="0.35">
      <c r="A401" s="264"/>
      <c r="B401" s="268"/>
      <c r="C401" s="268"/>
      <c r="D401" s="50" t="s">
        <v>17</v>
      </c>
      <c r="E401" s="50" t="s">
        <v>161</v>
      </c>
      <c r="F401" s="71" t="s">
        <v>53</v>
      </c>
      <c r="G401" s="27" t="s">
        <v>86</v>
      </c>
      <c r="H401" s="27">
        <v>3</v>
      </c>
      <c r="I401" s="45">
        <v>20000</v>
      </c>
      <c r="J401" s="45">
        <v>60000</v>
      </c>
      <c r="K401" s="45">
        <v>0</v>
      </c>
      <c r="L401" s="45"/>
      <c r="M401" s="45"/>
      <c r="N401" s="45"/>
      <c r="O401" s="45">
        <v>0</v>
      </c>
      <c r="P401" s="118">
        <v>60000</v>
      </c>
      <c r="Q401" s="126">
        <v>0</v>
      </c>
      <c r="R401" s="32">
        <f t="shared" si="214"/>
        <v>0</v>
      </c>
      <c r="S401" s="60">
        <f t="shared" si="215"/>
        <v>60000</v>
      </c>
      <c r="T401" s="60"/>
      <c r="U401" s="32">
        <f t="shared" si="216"/>
        <v>60000</v>
      </c>
      <c r="V401" s="32"/>
      <c r="W401" s="126">
        <v>0</v>
      </c>
      <c r="X401" s="60">
        <v>30000</v>
      </c>
      <c r="Y401" s="60">
        <v>15000</v>
      </c>
      <c r="Z401" s="32">
        <f t="shared" si="217"/>
        <v>15000</v>
      </c>
      <c r="AA401" s="34" t="s">
        <v>485</v>
      </c>
      <c r="AB401" s="234" t="s">
        <v>1130</v>
      </c>
    </row>
    <row r="402" spans="1:28" ht="15" customHeight="1" x14ac:dyDescent="0.35">
      <c r="A402" s="264"/>
      <c r="B402" s="50"/>
      <c r="C402" s="53"/>
      <c r="D402" s="53"/>
      <c r="E402" s="53"/>
      <c r="F402" s="74"/>
      <c r="G402" s="41"/>
      <c r="H402" s="41"/>
      <c r="I402" s="54"/>
      <c r="J402" s="54">
        <f>SUM(J390:J401)</f>
        <v>341212</v>
      </c>
      <c r="K402" s="54">
        <f t="shared" ref="K402:Z402" si="218">SUM(K390:K401)</f>
        <v>0</v>
      </c>
      <c r="L402" s="54">
        <f t="shared" si="218"/>
        <v>0</v>
      </c>
      <c r="M402" s="54">
        <f t="shared" si="218"/>
        <v>18311.68</v>
      </c>
      <c r="N402" s="54">
        <f t="shared" si="218"/>
        <v>12595</v>
      </c>
      <c r="O402" s="54">
        <f t="shared" si="218"/>
        <v>4920.42</v>
      </c>
      <c r="P402" s="54">
        <f t="shared" si="218"/>
        <v>305384.90000000002</v>
      </c>
      <c r="Q402" s="54">
        <f t="shared" si="218"/>
        <v>0</v>
      </c>
      <c r="R402" s="54">
        <f t="shared" si="218"/>
        <v>35827.1</v>
      </c>
      <c r="S402" s="54">
        <f t="shared" si="218"/>
        <v>269557.8</v>
      </c>
      <c r="T402" s="54">
        <f t="shared" si="218"/>
        <v>0</v>
      </c>
      <c r="U402" s="54">
        <f t="shared" si="218"/>
        <v>305384.90000000002</v>
      </c>
      <c r="V402" s="54">
        <f t="shared" si="218"/>
        <v>0</v>
      </c>
      <c r="W402" s="54">
        <f t="shared" ref="W402" si="219">SUM(W390:W401)</f>
        <v>8000</v>
      </c>
      <c r="X402" s="54">
        <f t="shared" si="218"/>
        <v>141138.35999999999</v>
      </c>
      <c r="Y402" s="54">
        <f t="shared" si="218"/>
        <v>105750</v>
      </c>
      <c r="Z402" s="54">
        <f t="shared" si="218"/>
        <v>50496.54</v>
      </c>
      <c r="AA402" s="49"/>
      <c r="AB402" s="141" t="s">
        <v>616</v>
      </c>
    </row>
    <row r="403" spans="1:28" ht="15" customHeight="1" x14ac:dyDescent="0.35">
      <c r="A403" s="264"/>
      <c r="B403" s="268" t="s">
        <v>486</v>
      </c>
      <c r="C403" s="268" t="s">
        <v>487</v>
      </c>
      <c r="D403" s="50" t="s">
        <v>17</v>
      </c>
      <c r="E403" s="50" t="s">
        <v>161</v>
      </c>
      <c r="F403" s="71" t="s">
        <v>57</v>
      </c>
      <c r="G403" s="27" t="s">
        <v>58</v>
      </c>
      <c r="H403" s="27">
        <v>120</v>
      </c>
      <c r="I403" s="45">
        <v>600</v>
      </c>
      <c r="J403" s="45">
        <v>72000</v>
      </c>
      <c r="K403" s="45">
        <v>0</v>
      </c>
      <c r="L403" s="45"/>
      <c r="M403" s="45"/>
      <c r="N403" s="45"/>
      <c r="O403" s="45">
        <v>0</v>
      </c>
      <c r="P403" s="118">
        <v>72000</v>
      </c>
      <c r="Q403" s="126">
        <v>0</v>
      </c>
      <c r="R403" s="32">
        <f t="shared" ref="R403:R409" si="220">L403+M403+N403+O403+Q403</f>
        <v>0</v>
      </c>
      <c r="S403" s="60">
        <f t="shared" ref="S403:S409" si="221">P403-R403</f>
        <v>72000</v>
      </c>
      <c r="T403" s="60"/>
      <c r="U403" s="32">
        <f t="shared" ref="U403:U409" si="222">P403-Q403</f>
        <v>72000</v>
      </c>
      <c r="V403" s="32"/>
      <c r="W403" s="126"/>
      <c r="X403" s="60">
        <v>40725.54</v>
      </c>
      <c r="Y403" s="60"/>
      <c r="Z403" s="32">
        <f t="shared" ref="Z403:Z409" si="223">U403-(W403+X403+Y403)</f>
        <v>31274.46</v>
      </c>
      <c r="AA403" s="34" t="s">
        <v>488</v>
      </c>
      <c r="AB403" s="127" t="s">
        <v>1151</v>
      </c>
    </row>
    <row r="404" spans="1:28" ht="15" customHeight="1" x14ac:dyDescent="0.35">
      <c r="A404" s="264"/>
      <c r="B404" s="268"/>
      <c r="C404" s="268"/>
      <c r="D404" s="50" t="s">
        <v>33</v>
      </c>
      <c r="E404" s="50" t="s">
        <v>34</v>
      </c>
      <c r="F404" s="71" t="s">
        <v>28</v>
      </c>
      <c r="G404" s="27" t="s">
        <v>29</v>
      </c>
      <c r="H404" s="27">
        <v>4</v>
      </c>
      <c r="I404" s="45">
        <v>2000</v>
      </c>
      <c r="J404" s="45">
        <v>0</v>
      </c>
      <c r="K404" s="45">
        <v>29000</v>
      </c>
      <c r="L404" s="45"/>
      <c r="M404" s="45"/>
      <c r="N404" s="45"/>
      <c r="O404" s="45">
        <v>0</v>
      </c>
      <c r="P404" s="118">
        <v>0</v>
      </c>
      <c r="Q404" s="126">
        <v>0</v>
      </c>
      <c r="R404" s="32">
        <f t="shared" si="220"/>
        <v>0</v>
      </c>
      <c r="S404" s="60">
        <f t="shared" si="221"/>
        <v>0</v>
      </c>
      <c r="T404" s="60"/>
      <c r="U404" s="32">
        <f t="shared" si="222"/>
        <v>0</v>
      </c>
      <c r="V404" s="32"/>
      <c r="W404" s="126"/>
      <c r="X404" s="60"/>
      <c r="Y404" s="60"/>
      <c r="Z404" s="32">
        <f t="shared" si="223"/>
        <v>0</v>
      </c>
      <c r="AA404" s="34" t="s">
        <v>489</v>
      </c>
      <c r="AB404" s="127"/>
    </row>
    <row r="405" spans="1:28" ht="15" customHeight="1" x14ac:dyDescent="0.35">
      <c r="A405" s="264"/>
      <c r="B405" s="268"/>
      <c r="C405" s="268"/>
      <c r="D405" s="50" t="s">
        <v>17</v>
      </c>
      <c r="E405" s="50" t="s">
        <v>161</v>
      </c>
      <c r="F405" s="71" t="s">
        <v>36</v>
      </c>
      <c r="G405" s="27" t="s">
        <v>55</v>
      </c>
      <c r="H405" s="27">
        <v>9</v>
      </c>
      <c r="I405" s="45">
        <v>3750</v>
      </c>
      <c r="J405" s="45">
        <v>31761</v>
      </c>
      <c r="K405" s="45">
        <v>0</v>
      </c>
      <c r="L405" s="45"/>
      <c r="M405" s="45"/>
      <c r="N405" s="45"/>
      <c r="O405" s="45">
        <v>0</v>
      </c>
      <c r="P405" s="118">
        <v>31761</v>
      </c>
      <c r="Q405" s="126">
        <v>0</v>
      </c>
      <c r="R405" s="32">
        <f t="shared" si="220"/>
        <v>0</v>
      </c>
      <c r="S405" s="60">
        <f t="shared" si="221"/>
        <v>31761</v>
      </c>
      <c r="T405" s="60"/>
      <c r="U405" s="32">
        <f t="shared" si="222"/>
        <v>31761</v>
      </c>
      <c r="V405" s="32"/>
      <c r="W405" s="126"/>
      <c r="X405" s="60">
        <v>8878.6299999999992</v>
      </c>
      <c r="Y405" s="60"/>
      <c r="Z405" s="32">
        <f t="shared" si="223"/>
        <v>22882.370000000003</v>
      </c>
      <c r="AA405" s="34" t="s">
        <v>490</v>
      </c>
      <c r="AB405" s="127"/>
    </row>
    <row r="406" spans="1:28" ht="28" customHeight="1" x14ac:dyDescent="0.35">
      <c r="A406" s="264"/>
      <c r="B406" s="268"/>
      <c r="C406" s="268"/>
      <c r="D406" s="50" t="s">
        <v>17</v>
      </c>
      <c r="E406" s="50" t="s">
        <v>161</v>
      </c>
      <c r="F406" s="71" t="s">
        <v>57</v>
      </c>
      <c r="G406" s="27" t="s">
        <v>86</v>
      </c>
      <c r="H406" s="27">
        <v>1</v>
      </c>
      <c r="I406" s="45">
        <v>28400</v>
      </c>
      <c r="J406" s="45">
        <v>28400</v>
      </c>
      <c r="K406" s="45">
        <v>0</v>
      </c>
      <c r="L406" s="45">
        <v>0</v>
      </c>
      <c r="M406" s="45">
        <v>28400</v>
      </c>
      <c r="N406" s="45"/>
      <c r="O406" s="45">
        <v>0</v>
      </c>
      <c r="P406" s="118">
        <v>0</v>
      </c>
      <c r="Q406" s="126">
        <v>0</v>
      </c>
      <c r="R406" s="32">
        <f t="shared" si="220"/>
        <v>28400</v>
      </c>
      <c r="S406" s="60">
        <f t="shared" si="221"/>
        <v>-28400</v>
      </c>
      <c r="T406" s="60"/>
      <c r="U406" s="32">
        <f t="shared" si="222"/>
        <v>0</v>
      </c>
      <c r="V406" s="32"/>
      <c r="W406" s="126"/>
      <c r="X406" s="60"/>
      <c r="Y406" s="60"/>
      <c r="Z406" s="32">
        <f t="shared" si="223"/>
        <v>0</v>
      </c>
      <c r="AA406" s="34" t="s">
        <v>491</v>
      </c>
      <c r="AB406" s="127"/>
    </row>
    <row r="407" spans="1:28" ht="30" customHeight="1" x14ac:dyDescent="0.35">
      <c r="A407" s="264"/>
      <c r="B407" s="268"/>
      <c r="C407" s="268"/>
      <c r="D407" s="50" t="s">
        <v>17</v>
      </c>
      <c r="E407" s="50" t="s">
        <v>161</v>
      </c>
      <c r="F407" s="71" t="s">
        <v>39</v>
      </c>
      <c r="G407" s="27" t="s">
        <v>40</v>
      </c>
      <c r="H407" s="27">
        <v>6</v>
      </c>
      <c r="I407" s="45">
        <v>2250</v>
      </c>
      <c r="J407" s="45">
        <v>13500</v>
      </c>
      <c r="K407" s="45">
        <v>0</v>
      </c>
      <c r="L407" s="45"/>
      <c r="M407" s="45"/>
      <c r="N407" s="45"/>
      <c r="O407" s="45">
        <v>1632.37</v>
      </c>
      <c r="P407" s="118">
        <v>11867.630000000001</v>
      </c>
      <c r="Q407" s="126">
        <v>0</v>
      </c>
      <c r="R407" s="32">
        <f t="shared" si="220"/>
        <v>1632.37</v>
      </c>
      <c r="S407" s="60">
        <f t="shared" si="221"/>
        <v>10235.260000000002</v>
      </c>
      <c r="T407" s="60"/>
      <c r="U407" s="32">
        <f t="shared" si="222"/>
        <v>11867.630000000001</v>
      </c>
      <c r="V407" s="32"/>
      <c r="W407" s="126">
        <v>15000</v>
      </c>
      <c r="X407" s="60">
        <v>10000</v>
      </c>
      <c r="Y407" s="60">
        <v>10000</v>
      </c>
      <c r="Z407" s="32">
        <f t="shared" si="223"/>
        <v>-23132.37</v>
      </c>
      <c r="AA407" s="34" t="s">
        <v>492</v>
      </c>
      <c r="AB407" s="127"/>
    </row>
    <row r="408" spans="1:28" ht="15" customHeight="1" x14ac:dyDescent="0.35">
      <c r="A408" s="264"/>
      <c r="B408" s="268"/>
      <c r="C408" s="268"/>
      <c r="D408" s="50" t="s">
        <v>33</v>
      </c>
      <c r="E408" s="50" t="s">
        <v>34</v>
      </c>
      <c r="F408" s="71" t="s">
        <v>39</v>
      </c>
      <c r="G408" s="27" t="s">
        <v>40</v>
      </c>
      <c r="H408" s="27">
        <v>1</v>
      </c>
      <c r="I408" s="45">
        <v>5250</v>
      </c>
      <c r="J408" s="45">
        <v>5250</v>
      </c>
      <c r="K408" s="45">
        <v>0</v>
      </c>
      <c r="L408" s="45"/>
      <c r="M408" s="45"/>
      <c r="N408" s="45"/>
      <c r="O408" s="45">
        <v>0</v>
      </c>
      <c r="P408" s="118">
        <v>5250</v>
      </c>
      <c r="Q408" s="126">
        <v>0</v>
      </c>
      <c r="R408" s="32">
        <f t="shared" si="220"/>
        <v>0</v>
      </c>
      <c r="S408" s="60">
        <f t="shared" si="221"/>
        <v>5250</v>
      </c>
      <c r="T408" s="60"/>
      <c r="U408" s="32">
        <f t="shared" si="222"/>
        <v>5250</v>
      </c>
      <c r="V408" s="32"/>
      <c r="W408" s="126"/>
      <c r="X408" s="60">
        <v>15000</v>
      </c>
      <c r="Y408" s="60">
        <v>15000</v>
      </c>
      <c r="Z408" s="32">
        <f t="shared" si="223"/>
        <v>-24750</v>
      </c>
      <c r="AA408" s="34" t="s">
        <v>493</v>
      </c>
      <c r="AB408" s="127"/>
    </row>
    <row r="409" spans="1:28" ht="30" customHeight="1" x14ac:dyDescent="0.35">
      <c r="A409" s="264"/>
      <c r="B409" s="268"/>
      <c r="C409" s="268"/>
      <c r="D409" s="50" t="s">
        <v>17</v>
      </c>
      <c r="E409" s="50" t="s">
        <v>161</v>
      </c>
      <c r="F409" s="71" t="s">
        <v>118</v>
      </c>
      <c r="G409" s="27" t="s">
        <v>86</v>
      </c>
      <c r="H409" s="27">
        <v>2</v>
      </c>
      <c r="I409" s="45">
        <v>5000</v>
      </c>
      <c r="J409" s="45">
        <v>10000</v>
      </c>
      <c r="K409" s="45">
        <v>0</v>
      </c>
      <c r="L409" s="45"/>
      <c r="M409" s="45"/>
      <c r="N409" s="45"/>
      <c r="O409" s="45">
        <v>0</v>
      </c>
      <c r="P409" s="118">
        <v>10000</v>
      </c>
      <c r="Q409" s="126">
        <v>0</v>
      </c>
      <c r="R409" s="32">
        <f t="shared" si="220"/>
        <v>0</v>
      </c>
      <c r="S409" s="60">
        <f t="shared" si="221"/>
        <v>10000</v>
      </c>
      <c r="T409" s="60"/>
      <c r="U409" s="32">
        <f t="shared" si="222"/>
        <v>10000</v>
      </c>
      <c r="V409" s="32"/>
      <c r="W409" s="126"/>
      <c r="X409" s="60">
        <v>40000</v>
      </c>
      <c r="Y409" s="60">
        <f>40000-24172.68</f>
        <v>15827.32</v>
      </c>
      <c r="Z409" s="32">
        <f t="shared" si="223"/>
        <v>-45827.32</v>
      </c>
      <c r="AA409" s="34" t="s">
        <v>494</v>
      </c>
      <c r="AB409" s="127"/>
    </row>
    <row r="410" spans="1:28" ht="15" customHeight="1" x14ac:dyDescent="0.35">
      <c r="A410" s="264"/>
      <c r="B410" s="268"/>
      <c r="C410" s="53"/>
      <c r="D410" s="53"/>
      <c r="E410" s="53"/>
      <c r="F410" s="74"/>
      <c r="G410" s="41"/>
      <c r="H410" s="41"/>
      <c r="I410" s="54"/>
      <c r="J410" s="54">
        <f>SUM(J403:J409)</f>
        <v>160911</v>
      </c>
      <c r="K410" s="54">
        <f t="shared" ref="K410:L410" si="224">SUM(K403:K409)</f>
        <v>29000</v>
      </c>
      <c r="L410" s="54">
        <f t="shared" si="224"/>
        <v>0</v>
      </c>
      <c r="M410" s="54">
        <v>28400</v>
      </c>
      <c r="N410" s="54">
        <v>0</v>
      </c>
      <c r="O410" s="54">
        <v>1632.37</v>
      </c>
      <c r="P410" s="54">
        <f>SUM(P403:P409)</f>
        <v>130878.63</v>
      </c>
      <c r="Q410" s="54">
        <f t="shared" ref="Q410:Z410" si="225">SUM(Q403:Q409)</f>
        <v>0</v>
      </c>
      <c r="R410" s="54">
        <f t="shared" si="225"/>
        <v>30032.37</v>
      </c>
      <c r="S410" s="54">
        <f t="shared" si="225"/>
        <v>100846.26000000001</v>
      </c>
      <c r="T410" s="54">
        <f t="shared" si="225"/>
        <v>0</v>
      </c>
      <c r="U410" s="54">
        <f t="shared" si="225"/>
        <v>130878.63</v>
      </c>
      <c r="V410" s="54">
        <f t="shared" si="225"/>
        <v>0</v>
      </c>
      <c r="W410" s="54">
        <f t="shared" si="225"/>
        <v>15000</v>
      </c>
      <c r="X410" s="54">
        <f t="shared" si="225"/>
        <v>114604.17</v>
      </c>
      <c r="Y410" s="54">
        <f t="shared" si="225"/>
        <v>40827.32</v>
      </c>
      <c r="Z410" s="54">
        <f t="shared" si="225"/>
        <v>-39552.86</v>
      </c>
      <c r="AA410" s="49"/>
      <c r="AB410" s="128"/>
    </row>
    <row r="411" spans="1:28" ht="15" customHeight="1" x14ac:dyDescent="0.35">
      <c r="A411" s="264"/>
      <c r="B411" s="268"/>
      <c r="C411" s="268" t="s">
        <v>495</v>
      </c>
      <c r="D411" s="50" t="s">
        <v>17</v>
      </c>
      <c r="E411" s="50" t="s">
        <v>34</v>
      </c>
      <c r="F411" s="71" t="s">
        <v>496</v>
      </c>
      <c r="G411" s="27" t="s">
        <v>86</v>
      </c>
      <c r="H411" s="27">
        <v>3</v>
      </c>
      <c r="I411" s="45">
        <v>1500</v>
      </c>
      <c r="J411" s="45">
        <v>4500</v>
      </c>
      <c r="K411" s="45">
        <v>0</v>
      </c>
      <c r="L411" s="45"/>
      <c r="M411" s="45"/>
      <c r="N411" s="45"/>
      <c r="O411" s="45">
        <v>0</v>
      </c>
      <c r="P411" s="118">
        <v>4500</v>
      </c>
      <c r="Q411" s="126">
        <v>0</v>
      </c>
      <c r="R411" s="32">
        <f t="shared" ref="R411:R414" si="226">L411+M411+N411+O411+Q411</f>
        <v>0</v>
      </c>
      <c r="S411" s="60">
        <f>P411-R411</f>
        <v>4500</v>
      </c>
      <c r="T411" s="60"/>
      <c r="U411" s="32">
        <f t="shared" ref="U411:U414" si="227">P411-Q411</f>
        <v>4500</v>
      </c>
      <c r="V411" s="32"/>
      <c r="W411" s="126">
        <v>0</v>
      </c>
      <c r="X411" s="60"/>
      <c r="Y411" s="60"/>
      <c r="Z411" s="32">
        <f t="shared" ref="Z411:Z414" si="228">U411-(W411+X411+Y411)</f>
        <v>4500</v>
      </c>
      <c r="AA411" s="34" t="s">
        <v>497</v>
      </c>
      <c r="AB411" s="127"/>
    </row>
    <row r="412" spans="1:28" ht="15" customHeight="1" x14ac:dyDescent="0.35">
      <c r="A412" s="264"/>
      <c r="B412" s="268"/>
      <c r="C412" s="268"/>
      <c r="D412" s="50" t="s">
        <v>17</v>
      </c>
      <c r="E412" s="50" t="s">
        <v>34</v>
      </c>
      <c r="F412" s="71" t="s">
        <v>496</v>
      </c>
      <c r="G412" s="27" t="s">
        <v>283</v>
      </c>
      <c r="H412" s="27">
        <v>21</v>
      </c>
      <c r="I412" s="45">
        <v>1920</v>
      </c>
      <c r="J412" s="45">
        <v>40320</v>
      </c>
      <c r="K412" s="45">
        <v>0</v>
      </c>
      <c r="L412" s="45"/>
      <c r="M412" s="45"/>
      <c r="N412" s="45"/>
      <c r="O412" s="45">
        <v>0</v>
      </c>
      <c r="P412" s="118">
        <v>40320</v>
      </c>
      <c r="Q412" s="126">
        <v>14348.51</v>
      </c>
      <c r="R412" s="32">
        <f t="shared" si="226"/>
        <v>14348.51</v>
      </c>
      <c r="S412" s="60">
        <f>P412-R412</f>
        <v>25971.489999999998</v>
      </c>
      <c r="T412" s="60"/>
      <c r="U412" s="32">
        <f t="shared" si="227"/>
        <v>25971.489999999998</v>
      </c>
      <c r="V412" s="32"/>
      <c r="W412" s="126">
        <v>0</v>
      </c>
      <c r="X412" s="60">
        <v>5000</v>
      </c>
      <c r="Y412" s="60">
        <v>4846.49</v>
      </c>
      <c r="Z412" s="32">
        <f t="shared" si="228"/>
        <v>16124.999999999998</v>
      </c>
      <c r="AA412" s="34" t="s">
        <v>498</v>
      </c>
      <c r="AB412" s="127"/>
    </row>
    <row r="413" spans="1:28" ht="15" customHeight="1" x14ac:dyDescent="0.35">
      <c r="A413" s="264"/>
      <c r="B413" s="268"/>
      <c r="C413" s="268"/>
      <c r="D413" s="50" t="s">
        <v>17</v>
      </c>
      <c r="E413" s="50" t="s">
        <v>34</v>
      </c>
      <c r="F413" s="71" t="s">
        <v>496</v>
      </c>
      <c r="G413" s="27" t="s">
        <v>86</v>
      </c>
      <c r="H413" s="27">
        <v>3</v>
      </c>
      <c r="I413" s="45">
        <v>26250</v>
      </c>
      <c r="J413" s="45">
        <v>78750</v>
      </c>
      <c r="K413" s="45">
        <v>0</v>
      </c>
      <c r="L413" s="45"/>
      <c r="M413" s="45"/>
      <c r="N413" s="45"/>
      <c r="O413" s="45">
        <v>0</v>
      </c>
      <c r="P413" s="118">
        <v>78750</v>
      </c>
      <c r="Q413" s="126">
        <v>0</v>
      </c>
      <c r="R413" s="32">
        <f t="shared" si="226"/>
        <v>0</v>
      </c>
      <c r="S413" s="60">
        <f>P413-R413</f>
        <v>78750</v>
      </c>
      <c r="T413" s="60"/>
      <c r="U413" s="32">
        <f t="shared" si="227"/>
        <v>78750</v>
      </c>
      <c r="V413" s="32"/>
      <c r="W413" s="126">
        <v>9375</v>
      </c>
      <c r="X413" s="60">
        <v>20000</v>
      </c>
      <c r="Y413" s="60">
        <v>20000</v>
      </c>
      <c r="Z413" s="32">
        <f t="shared" si="228"/>
        <v>29375</v>
      </c>
      <c r="AA413" s="34" t="s">
        <v>499</v>
      </c>
      <c r="AB413" s="127"/>
    </row>
    <row r="414" spans="1:28" ht="15" customHeight="1" x14ac:dyDescent="0.35">
      <c r="A414" s="264"/>
      <c r="B414" s="268"/>
      <c r="C414" s="268"/>
      <c r="D414" s="50" t="s">
        <v>17</v>
      </c>
      <c r="E414" s="50" t="s">
        <v>34</v>
      </c>
      <c r="F414" s="71" t="s">
        <v>132</v>
      </c>
      <c r="G414" s="27" t="s">
        <v>283</v>
      </c>
      <c r="H414" s="27">
        <v>2</v>
      </c>
      <c r="I414" s="45">
        <v>5000</v>
      </c>
      <c r="J414" s="45">
        <v>10000</v>
      </c>
      <c r="K414" s="45">
        <v>0</v>
      </c>
      <c r="L414" s="45"/>
      <c r="M414" s="45"/>
      <c r="N414" s="45"/>
      <c r="O414" s="45">
        <v>0</v>
      </c>
      <c r="P414" s="118">
        <v>10000</v>
      </c>
      <c r="Q414" s="126">
        <v>0</v>
      </c>
      <c r="R414" s="32">
        <f t="shared" si="226"/>
        <v>0</v>
      </c>
      <c r="S414" s="60">
        <f>P414-R414</f>
        <v>10000</v>
      </c>
      <c r="T414" s="60"/>
      <c r="U414" s="32">
        <f t="shared" si="227"/>
        <v>10000</v>
      </c>
      <c r="V414" s="32"/>
      <c r="W414" s="126">
        <v>0</v>
      </c>
      <c r="X414" s="60">
        <v>10000</v>
      </c>
      <c r="Y414" s="60">
        <v>10000</v>
      </c>
      <c r="Z414" s="32">
        <f t="shared" si="228"/>
        <v>-10000</v>
      </c>
      <c r="AA414" s="34" t="s">
        <v>500</v>
      </c>
      <c r="AB414" s="127"/>
    </row>
    <row r="415" spans="1:28" ht="15" customHeight="1" x14ac:dyDescent="0.35">
      <c r="A415" s="264"/>
      <c r="B415" s="50"/>
      <c r="C415" s="53"/>
      <c r="D415" s="53"/>
      <c r="E415" s="53"/>
      <c r="F415" s="74"/>
      <c r="G415" s="41"/>
      <c r="H415" s="41"/>
      <c r="I415" s="54"/>
      <c r="J415" s="54">
        <f>SUM(J411:J414)</f>
        <v>133570</v>
      </c>
      <c r="K415" s="54">
        <f t="shared" ref="K415:L415" si="229">SUM(K411:K414)</f>
        <v>0</v>
      </c>
      <c r="L415" s="54">
        <f t="shared" si="229"/>
        <v>0</v>
      </c>
      <c r="M415" s="54">
        <v>0</v>
      </c>
      <c r="N415" s="54">
        <v>0</v>
      </c>
      <c r="O415" s="54">
        <v>0</v>
      </c>
      <c r="P415" s="54">
        <f>SUM(P411:P414)</f>
        <v>133570</v>
      </c>
      <c r="Q415" s="54">
        <f t="shared" ref="Q415:Z415" si="230">SUM(Q411:Q414)</f>
        <v>14348.51</v>
      </c>
      <c r="R415" s="54">
        <f t="shared" si="230"/>
        <v>14348.51</v>
      </c>
      <c r="S415" s="54">
        <f t="shared" si="230"/>
        <v>119221.48999999999</v>
      </c>
      <c r="T415" s="54">
        <f t="shared" si="230"/>
        <v>0</v>
      </c>
      <c r="U415" s="54">
        <f t="shared" si="230"/>
        <v>119221.48999999999</v>
      </c>
      <c r="V415" s="54">
        <f t="shared" si="230"/>
        <v>0</v>
      </c>
      <c r="W415" s="54">
        <f t="shared" si="230"/>
        <v>9375</v>
      </c>
      <c r="X415" s="54">
        <f t="shared" si="230"/>
        <v>35000</v>
      </c>
      <c r="Y415" s="54">
        <f t="shared" si="230"/>
        <v>34846.49</v>
      </c>
      <c r="Z415" s="54">
        <f t="shared" si="230"/>
        <v>40000</v>
      </c>
      <c r="AA415" s="49"/>
      <c r="AB415" s="128"/>
    </row>
    <row r="416" spans="1:28" s="84" customFormat="1" ht="15" customHeight="1" x14ac:dyDescent="0.35">
      <c r="A416" s="264"/>
      <c r="B416" s="50"/>
      <c r="C416" s="50" t="s">
        <v>275</v>
      </c>
      <c r="D416" s="50" t="s">
        <v>17</v>
      </c>
      <c r="E416" s="50"/>
      <c r="F416" s="71" t="s">
        <v>275</v>
      </c>
      <c r="G416" s="27" t="s">
        <v>86</v>
      </c>
      <c r="H416" s="27">
        <v>1</v>
      </c>
      <c r="I416" s="45">
        <v>230229</v>
      </c>
      <c r="J416" s="45">
        <v>230229</v>
      </c>
      <c r="K416" s="45">
        <v>0</v>
      </c>
      <c r="L416" s="45"/>
      <c r="M416" s="45"/>
      <c r="N416" s="45"/>
      <c r="O416" s="45"/>
      <c r="P416" s="118">
        <v>230229</v>
      </c>
      <c r="Q416" s="126">
        <v>0</v>
      </c>
      <c r="R416" s="32">
        <f t="shared" ref="R416" si="231">L416+M416+N416+O416+Q416</f>
        <v>0</v>
      </c>
      <c r="S416" s="60">
        <f>P416-R416</f>
        <v>230229</v>
      </c>
      <c r="T416" s="60"/>
      <c r="U416" s="32">
        <f t="shared" ref="U416" si="232">P416-Q416</f>
        <v>230229</v>
      </c>
      <c r="V416" s="32"/>
      <c r="W416" s="126">
        <v>0</v>
      </c>
      <c r="X416" s="60"/>
      <c r="Y416" s="60"/>
      <c r="Z416" s="32">
        <v>119056.32000000001</v>
      </c>
      <c r="AA416" s="34" t="s">
        <v>501</v>
      </c>
      <c r="AB416" s="127" t="s">
        <v>1154</v>
      </c>
    </row>
    <row r="417" spans="1:30" ht="15" customHeight="1" x14ac:dyDescent="0.35">
      <c r="A417" s="257" t="s">
        <v>277</v>
      </c>
      <c r="B417" s="257"/>
      <c r="C417" s="257"/>
      <c r="D417" s="257"/>
      <c r="E417" s="257"/>
      <c r="F417" s="257"/>
      <c r="G417" s="257"/>
      <c r="H417" s="257"/>
      <c r="I417" s="257"/>
      <c r="J417" s="69">
        <f>J389+J402+J410+J415+J416</f>
        <v>1144407</v>
      </c>
      <c r="K417" s="69">
        <f t="shared" ref="K417:L417" si="233">K389+K402+K410+K415+K416</f>
        <v>56000</v>
      </c>
      <c r="L417" s="69">
        <f t="shared" si="233"/>
        <v>0</v>
      </c>
      <c r="M417" s="69">
        <v>160646.12</v>
      </c>
      <c r="N417" s="69">
        <v>12595</v>
      </c>
      <c r="O417" s="69">
        <v>13353.989999999998</v>
      </c>
      <c r="P417" s="69">
        <f>P389+P402+P410+P415+P416</f>
        <v>957811.89</v>
      </c>
      <c r="Q417" s="69">
        <f t="shared" ref="Q417:Y417" si="234">Q389+Q402+Q410+Q415+Q416</f>
        <v>15083.380000000001</v>
      </c>
      <c r="R417" s="69">
        <f t="shared" si="234"/>
        <v>201678.49</v>
      </c>
      <c r="S417" s="69">
        <f t="shared" si="234"/>
        <v>756133.39999999991</v>
      </c>
      <c r="T417" s="69">
        <f t="shared" si="234"/>
        <v>0</v>
      </c>
      <c r="U417" s="69">
        <f t="shared" si="234"/>
        <v>942728.51</v>
      </c>
      <c r="V417" s="69">
        <f t="shared" si="234"/>
        <v>0</v>
      </c>
      <c r="W417" s="69">
        <f t="shared" si="234"/>
        <v>88776</v>
      </c>
      <c r="X417" s="69">
        <f t="shared" si="234"/>
        <v>477935.48</v>
      </c>
      <c r="Y417" s="69">
        <f t="shared" si="234"/>
        <v>264844.34999999998</v>
      </c>
      <c r="Z417" s="69">
        <f>Z389+Z402+Z410+Z415+Z416</f>
        <v>0</v>
      </c>
      <c r="AA417" s="69">
        <f>SUM(AA379:AA416)</f>
        <v>0</v>
      </c>
      <c r="AB417" s="140"/>
      <c r="AC417" s="247"/>
      <c r="AD417" s="248"/>
    </row>
    <row r="418" spans="1:30" ht="15" customHeight="1" x14ac:dyDescent="0.35">
      <c r="A418" s="264" t="s">
        <v>502</v>
      </c>
      <c r="B418" s="265" t="s">
        <v>503</v>
      </c>
      <c r="C418" s="266"/>
      <c r="D418" s="70" t="s">
        <v>17</v>
      </c>
      <c r="E418" s="70" t="s">
        <v>161</v>
      </c>
      <c r="F418" s="71" t="s">
        <v>28</v>
      </c>
      <c r="G418" s="70" t="s">
        <v>29</v>
      </c>
      <c r="H418" s="70">
        <v>12</v>
      </c>
      <c r="I418" s="70"/>
      <c r="J418" s="85">
        <v>354776</v>
      </c>
      <c r="K418" s="70">
        <v>0</v>
      </c>
      <c r="L418" s="86"/>
      <c r="M418" s="86">
        <v>393030.79</v>
      </c>
      <c r="N418" s="87"/>
      <c r="O418" s="87">
        <v>0</v>
      </c>
      <c r="P418" s="153">
        <v>-38254.789999999979</v>
      </c>
      <c r="Q418" s="76">
        <v>184999.7</v>
      </c>
      <c r="R418" s="32">
        <f t="shared" ref="R418:R430" si="235">L418+M418+N418+O418+Q418</f>
        <v>578030.49</v>
      </c>
      <c r="S418" s="60">
        <f>P418-R418</f>
        <v>-616285.28</v>
      </c>
      <c r="T418" s="60"/>
      <c r="U418" s="32">
        <f t="shared" ref="U418:U430" si="236">P418-Q418</f>
        <v>-223254.49</v>
      </c>
      <c r="V418" s="32"/>
      <c r="W418" s="76">
        <v>0</v>
      </c>
      <c r="X418" s="60"/>
      <c r="Y418" s="60"/>
      <c r="Z418" s="32">
        <f t="shared" ref="Z418:Z430" si="237">U418-(W418+X418+Y418)</f>
        <v>-223254.49</v>
      </c>
      <c r="AA418" s="88" t="s">
        <v>504</v>
      </c>
      <c r="AB418" s="127"/>
    </row>
    <row r="419" spans="1:30" ht="15" customHeight="1" x14ac:dyDescent="0.35">
      <c r="A419" s="264"/>
      <c r="B419" s="265"/>
      <c r="C419" s="266"/>
      <c r="D419" s="50" t="s">
        <v>17</v>
      </c>
      <c r="E419" s="50" t="s">
        <v>161</v>
      </c>
      <c r="F419" s="71" t="s">
        <v>28</v>
      </c>
      <c r="G419" s="27" t="s">
        <v>29</v>
      </c>
      <c r="H419" s="27">
        <v>6</v>
      </c>
      <c r="I419" s="45">
        <v>8000</v>
      </c>
      <c r="J419" s="45">
        <v>545000</v>
      </c>
      <c r="K419" s="45">
        <v>0</v>
      </c>
      <c r="L419" s="37"/>
      <c r="M419" s="37"/>
      <c r="N419" s="45">
        <v>98694.63</v>
      </c>
      <c r="O419" s="45">
        <v>125213.72</v>
      </c>
      <c r="P419" s="118">
        <v>321091.65000000002</v>
      </c>
      <c r="Q419" s="76">
        <v>0</v>
      </c>
      <c r="R419" s="32">
        <f>L419+M419+N419+O419+Q419</f>
        <v>223908.35</v>
      </c>
      <c r="S419" s="60">
        <f>P419-R419</f>
        <v>97183.300000000017</v>
      </c>
      <c r="T419" s="60"/>
      <c r="U419" s="32">
        <f t="shared" si="236"/>
        <v>321091.65000000002</v>
      </c>
      <c r="V419" s="256"/>
      <c r="Z419" s="32">
        <f t="shared" si="237"/>
        <v>321091.65000000002</v>
      </c>
      <c r="AA419" s="34" t="s">
        <v>505</v>
      </c>
      <c r="AB419" s="127" t="s">
        <v>617</v>
      </c>
    </row>
    <row r="420" spans="1:30" ht="15" customHeight="1" x14ac:dyDescent="0.35">
      <c r="A420" s="264"/>
      <c r="B420" s="265"/>
      <c r="C420" s="266"/>
      <c r="D420" s="130" t="s">
        <v>17</v>
      </c>
      <c r="E420" s="130" t="s">
        <v>161</v>
      </c>
      <c r="F420" s="145" t="s">
        <v>506</v>
      </c>
      <c r="G420" s="132"/>
      <c r="H420" s="132"/>
      <c r="I420" s="138"/>
      <c r="J420" s="138"/>
      <c r="K420" s="138"/>
      <c r="L420" s="154"/>
      <c r="M420" s="154"/>
      <c r="N420" s="138"/>
      <c r="O420" s="138"/>
      <c r="P420" s="138"/>
      <c r="Q420" s="134">
        <v>26546.800000000003</v>
      </c>
      <c r="R420" s="32">
        <f t="shared" si="235"/>
        <v>26546.800000000003</v>
      </c>
      <c r="S420" s="135"/>
      <c r="T420" s="135"/>
      <c r="U420" s="32">
        <f t="shared" si="236"/>
        <v>-26546.800000000003</v>
      </c>
      <c r="V420" s="32">
        <v>74250</v>
      </c>
      <c r="W420" s="134">
        <f>110000-V420</f>
        <v>35750</v>
      </c>
      <c r="X420" s="60"/>
      <c r="Y420" s="60"/>
      <c r="Z420" s="32">
        <f t="shared" si="237"/>
        <v>-62296.800000000003</v>
      </c>
      <c r="AA420" s="136" t="s">
        <v>507</v>
      </c>
      <c r="AB420" s="240" t="s">
        <v>1132</v>
      </c>
    </row>
    <row r="421" spans="1:30" ht="15" customHeight="1" x14ac:dyDescent="0.35">
      <c r="A421" s="264"/>
      <c r="B421" s="265"/>
      <c r="C421" s="266"/>
      <c r="D421" s="50" t="s">
        <v>17</v>
      </c>
      <c r="E421" s="50" t="s">
        <v>161</v>
      </c>
      <c r="F421" s="71" t="s">
        <v>28</v>
      </c>
      <c r="G421" s="27" t="s">
        <v>29</v>
      </c>
      <c r="H421" s="27">
        <v>6</v>
      </c>
      <c r="I421" s="45">
        <v>810</v>
      </c>
      <c r="J421" s="45">
        <v>100000</v>
      </c>
      <c r="K421" s="45">
        <v>0</v>
      </c>
      <c r="L421" s="38"/>
      <c r="M421" s="38"/>
      <c r="N421" s="45">
        <v>25752.2</v>
      </c>
      <c r="O421" s="45">
        <v>27920.01</v>
      </c>
      <c r="P421" s="118">
        <v>46327.79</v>
      </c>
      <c r="Q421" s="76">
        <v>4729.71</v>
      </c>
      <c r="R421" s="32">
        <f t="shared" si="235"/>
        <v>58401.919999999998</v>
      </c>
      <c r="S421" s="60">
        <f>P421-R421</f>
        <v>-12074.129999999997</v>
      </c>
      <c r="T421" s="60"/>
      <c r="U421" s="32">
        <f t="shared" si="236"/>
        <v>41598.080000000002</v>
      </c>
      <c r="V421" s="32">
        <v>9244.02</v>
      </c>
      <c r="W421" s="76">
        <f>(U421/3)-V421</f>
        <v>4622.0066666666662</v>
      </c>
      <c r="X421" s="76">
        <v>13866.026666666667</v>
      </c>
      <c r="Y421" s="76">
        <v>13866.026666666667</v>
      </c>
      <c r="Z421" s="32">
        <f t="shared" si="237"/>
        <v>9244.0200000000041</v>
      </c>
      <c r="AA421" s="34" t="s">
        <v>508</v>
      </c>
      <c r="AB421" s="127"/>
    </row>
    <row r="422" spans="1:30" ht="15" customHeight="1" x14ac:dyDescent="0.35">
      <c r="A422" s="264"/>
      <c r="B422" s="265"/>
      <c r="C422" s="266"/>
      <c r="D422" s="130" t="s">
        <v>17</v>
      </c>
      <c r="E422" s="130" t="s">
        <v>161</v>
      </c>
      <c r="F422" s="145" t="s">
        <v>28</v>
      </c>
      <c r="G422" s="132"/>
      <c r="H422" s="132"/>
      <c r="I422" s="138"/>
      <c r="J422" s="138"/>
      <c r="K422" s="138"/>
      <c r="L422" s="155"/>
      <c r="M422" s="155"/>
      <c r="N422" s="138"/>
      <c r="O422" s="138"/>
      <c r="P422" s="138"/>
      <c r="Q422" s="134">
        <v>0</v>
      </c>
      <c r="R422" s="32">
        <f t="shared" si="235"/>
        <v>0</v>
      </c>
      <c r="S422" s="135"/>
      <c r="T422" s="135"/>
      <c r="U422" s="32">
        <f t="shared" si="236"/>
        <v>0</v>
      </c>
      <c r="V422" s="32"/>
      <c r="W422" s="134"/>
      <c r="X422" s="60"/>
      <c r="Y422" s="60"/>
      <c r="Z422" s="32">
        <f t="shared" si="237"/>
        <v>0</v>
      </c>
      <c r="AA422" s="136" t="s">
        <v>509</v>
      </c>
      <c r="AB422" s="137" t="s">
        <v>618</v>
      </c>
    </row>
    <row r="423" spans="1:30" ht="15" customHeight="1" x14ac:dyDescent="0.35">
      <c r="A423" s="264"/>
      <c r="B423" s="265"/>
      <c r="C423" s="266"/>
      <c r="D423" s="50" t="s">
        <v>17</v>
      </c>
      <c r="E423" s="50" t="s">
        <v>161</v>
      </c>
      <c r="F423" s="71" t="s">
        <v>69</v>
      </c>
      <c r="G423" s="27" t="s">
        <v>55</v>
      </c>
      <c r="H423" s="27">
        <v>32</v>
      </c>
      <c r="I423" s="45">
        <v>1100</v>
      </c>
      <c r="J423" s="45">
        <v>46252</v>
      </c>
      <c r="K423" s="45">
        <v>0</v>
      </c>
      <c r="L423" s="45"/>
      <c r="M423" s="45">
        <v>1122.44</v>
      </c>
      <c r="N423" s="45">
        <v>886.44</v>
      </c>
      <c r="O423" s="45">
        <v>10792.95</v>
      </c>
      <c r="P423" s="118">
        <v>33450.17</v>
      </c>
      <c r="Q423" s="76">
        <v>3909.9700000000003</v>
      </c>
      <c r="R423" s="32">
        <f t="shared" si="235"/>
        <v>16711.800000000003</v>
      </c>
      <c r="S423" s="60">
        <f t="shared" ref="S423:S430" si="238">P423-R423</f>
        <v>16738.369999999995</v>
      </c>
      <c r="T423" s="60"/>
      <c r="U423" s="32">
        <f t="shared" si="236"/>
        <v>29540.199999999997</v>
      </c>
      <c r="V423" s="32"/>
      <c r="W423" s="76"/>
      <c r="X423" s="60"/>
      <c r="Y423" s="60"/>
      <c r="Z423" s="32">
        <f t="shared" si="237"/>
        <v>29540.199999999997</v>
      </c>
      <c r="AA423" s="88" t="s">
        <v>510</v>
      </c>
      <c r="AB423" s="127"/>
    </row>
    <row r="424" spans="1:30" ht="15" customHeight="1" x14ac:dyDescent="0.35">
      <c r="A424" s="264"/>
      <c r="B424" s="265"/>
      <c r="C424" s="266"/>
      <c r="D424" s="50" t="s">
        <v>17</v>
      </c>
      <c r="E424" s="50" t="s">
        <v>161</v>
      </c>
      <c r="F424" s="71" t="s">
        <v>36</v>
      </c>
      <c r="G424" s="27"/>
      <c r="H424" s="27"/>
      <c r="I424" s="45"/>
      <c r="J424" s="45">
        <v>0</v>
      </c>
      <c r="K424" s="45">
        <v>0</v>
      </c>
      <c r="L424" s="45"/>
      <c r="M424" s="45">
        <v>24389.51</v>
      </c>
      <c r="N424" s="45"/>
      <c r="O424" s="45">
        <v>0</v>
      </c>
      <c r="P424" s="118">
        <v>-24389.51</v>
      </c>
      <c r="Q424" s="76">
        <v>5938.2400000000016</v>
      </c>
      <c r="R424" s="32">
        <f t="shared" si="235"/>
        <v>30327.75</v>
      </c>
      <c r="S424" s="60">
        <f t="shared" si="238"/>
        <v>-54717.259999999995</v>
      </c>
      <c r="T424" s="60"/>
      <c r="U424" s="32">
        <f t="shared" si="236"/>
        <v>-30327.75</v>
      </c>
      <c r="V424" s="32"/>
      <c r="W424" s="76"/>
      <c r="X424" s="60"/>
      <c r="Y424" s="60"/>
      <c r="Z424" s="32">
        <f t="shared" si="237"/>
        <v>-30327.75</v>
      </c>
      <c r="AA424" s="88"/>
      <c r="AB424" s="127"/>
    </row>
    <row r="425" spans="1:30" ht="15" customHeight="1" x14ac:dyDescent="0.35">
      <c r="A425" s="264"/>
      <c r="B425" s="265"/>
      <c r="C425" s="266"/>
      <c r="D425" s="50" t="s">
        <v>17</v>
      </c>
      <c r="E425" s="50" t="s">
        <v>161</v>
      </c>
      <c r="F425" s="71" t="s">
        <v>73</v>
      </c>
      <c r="G425" s="27" t="s">
        <v>86</v>
      </c>
      <c r="H425" s="27"/>
      <c r="I425" s="45">
        <v>0</v>
      </c>
      <c r="J425" s="45">
        <v>35675</v>
      </c>
      <c r="K425" s="45">
        <v>0</v>
      </c>
      <c r="L425" s="45"/>
      <c r="M425" s="45">
        <v>14249.93</v>
      </c>
      <c r="N425" s="45">
        <v>22783.47</v>
      </c>
      <c r="O425" s="45">
        <v>4358.16</v>
      </c>
      <c r="P425" s="118">
        <v>-5716.5599999999977</v>
      </c>
      <c r="Q425" s="76">
        <v>0</v>
      </c>
      <c r="R425" s="32">
        <f t="shared" si="235"/>
        <v>41391.56</v>
      </c>
      <c r="S425" s="60">
        <f t="shared" si="238"/>
        <v>-47108.119999999995</v>
      </c>
      <c r="T425" s="60"/>
      <c r="U425" s="32">
        <f t="shared" si="236"/>
        <v>-5716.5599999999977</v>
      </c>
      <c r="V425" s="32"/>
      <c r="W425" s="76"/>
      <c r="X425" s="60"/>
      <c r="Y425" s="60"/>
      <c r="Z425" s="32">
        <f t="shared" si="237"/>
        <v>-5716.5599999999977</v>
      </c>
      <c r="AA425" s="34" t="s">
        <v>511</v>
      </c>
      <c r="AB425" s="127"/>
    </row>
    <row r="426" spans="1:30" ht="15" customHeight="1" x14ac:dyDescent="0.35">
      <c r="A426" s="264"/>
      <c r="B426" s="265"/>
      <c r="C426" s="266"/>
      <c r="D426" s="50" t="s">
        <v>17</v>
      </c>
      <c r="E426" s="50" t="s">
        <v>161</v>
      </c>
      <c r="F426" s="71" t="s">
        <v>61</v>
      </c>
      <c r="G426" s="27" t="s">
        <v>62</v>
      </c>
      <c r="H426" s="27">
        <v>6</v>
      </c>
      <c r="I426" s="45">
        <v>0</v>
      </c>
      <c r="J426" s="45">
        <v>16240</v>
      </c>
      <c r="K426" s="45">
        <v>0</v>
      </c>
      <c r="L426" s="45"/>
      <c r="M426" s="45">
        <v>20059.080000000002</v>
      </c>
      <c r="N426" s="45">
        <v>7960.98</v>
      </c>
      <c r="O426" s="45">
        <v>0</v>
      </c>
      <c r="P426" s="118">
        <v>-11780.060000000001</v>
      </c>
      <c r="Q426" s="76">
        <v>0</v>
      </c>
      <c r="R426" s="32">
        <f t="shared" si="235"/>
        <v>28020.06</v>
      </c>
      <c r="S426" s="60">
        <f t="shared" si="238"/>
        <v>-39800.120000000003</v>
      </c>
      <c r="T426" s="60"/>
      <c r="U426" s="32">
        <f t="shared" si="236"/>
        <v>-11780.060000000001</v>
      </c>
      <c r="V426" s="32"/>
      <c r="W426" s="76"/>
      <c r="X426" s="60"/>
      <c r="Y426" s="60"/>
      <c r="Z426" s="32">
        <f t="shared" si="237"/>
        <v>-11780.060000000001</v>
      </c>
      <c r="AA426" s="34" t="s">
        <v>512</v>
      </c>
      <c r="AB426" s="127"/>
    </row>
    <row r="427" spans="1:30" ht="15" customHeight="1" x14ac:dyDescent="0.35">
      <c r="A427" s="264"/>
      <c r="B427" s="265"/>
      <c r="C427" s="266"/>
      <c r="D427" s="50" t="s">
        <v>17</v>
      </c>
      <c r="E427" s="50" t="s">
        <v>161</v>
      </c>
      <c r="F427" s="71" t="s">
        <v>513</v>
      </c>
      <c r="G427" s="27" t="s">
        <v>86</v>
      </c>
      <c r="H427" s="27">
        <v>4</v>
      </c>
      <c r="I427" s="45">
        <v>2500</v>
      </c>
      <c r="J427" s="45">
        <v>10000</v>
      </c>
      <c r="K427" s="45">
        <v>0</v>
      </c>
      <c r="L427" s="45"/>
      <c r="M427" s="45">
        <v>2050.6799999999998</v>
      </c>
      <c r="N427" s="45"/>
      <c r="O427" s="45">
        <v>0</v>
      </c>
      <c r="P427" s="118">
        <v>7949.32</v>
      </c>
      <c r="Q427" s="76">
        <v>3520</v>
      </c>
      <c r="R427" s="32">
        <f t="shared" si="235"/>
        <v>5570.68</v>
      </c>
      <c r="S427" s="60">
        <f t="shared" si="238"/>
        <v>2378.6399999999994</v>
      </c>
      <c r="T427" s="60"/>
      <c r="U427" s="32">
        <f t="shared" si="236"/>
        <v>4429.32</v>
      </c>
      <c r="V427" s="32"/>
      <c r="W427" s="76"/>
      <c r="X427" s="60"/>
      <c r="Y427" s="60"/>
      <c r="Z427" s="32">
        <f t="shared" si="237"/>
        <v>4429.32</v>
      </c>
      <c r="AA427" s="88" t="s">
        <v>514</v>
      </c>
      <c r="AB427" s="234" t="s">
        <v>1109</v>
      </c>
    </row>
    <row r="428" spans="1:30" ht="15" customHeight="1" x14ac:dyDescent="0.35">
      <c r="A428" s="264"/>
      <c r="B428" s="265"/>
      <c r="C428" s="266"/>
      <c r="D428" s="50" t="s">
        <v>17</v>
      </c>
      <c r="E428" s="50" t="s">
        <v>161</v>
      </c>
      <c r="F428" s="71" t="s">
        <v>53</v>
      </c>
      <c r="G428" s="27" t="s">
        <v>86</v>
      </c>
      <c r="H428" s="27">
        <v>1</v>
      </c>
      <c r="I428" s="45">
        <v>2826</v>
      </c>
      <c r="J428" s="45">
        <v>2827</v>
      </c>
      <c r="K428" s="45">
        <v>0</v>
      </c>
      <c r="L428" s="45"/>
      <c r="M428" s="45"/>
      <c r="N428" s="45">
        <v>1440.55</v>
      </c>
      <c r="O428" s="45">
        <v>4585.51</v>
      </c>
      <c r="P428" s="118">
        <v>-3199.0600000000004</v>
      </c>
      <c r="Q428" s="76">
        <v>10511.380000000001</v>
      </c>
      <c r="R428" s="32">
        <f t="shared" si="235"/>
        <v>16537.440000000002</v>
      </c>
      <c r="S428" s="60">
        <f t="shared" si="238"/>
        <v>-19736.500000000004</v>
      </c>
      <c r="T428" s="60"/>
      <c r="U428" s="32">
        <f t="shared" si="236"/>
        <v>-13710.440000000002</v>
      </c>
      <c r="V428" s="32"/>
      <c r="W428" s="76"/>
      <c r="X428" s="60"/>
      <c r="Y428" s="60"/>
      <c r="Z428" s="32">
        <f t="shared" si="237"/>
        <v>-13710.440000000002</v>
      </c>
      <c r="AA428" s="34" t="s">
        <v>515</v>
      </c>
      <c r="AB428" s="127"/>
    </row>
    <row r="429" spans="1:30" ht="15" customHeight="1" x14ac:dyDescent="0.35">
      <c r="A429" s="264"/>
      <c r="B429" s="265"/>
      <c r="C429" s="266"/>
      <c r="D429" s="50" t="s">
        <v>17</v>
      </c>
      <c r="E429" s="50" t="s">
        <v>161</v>
      </c>
      <c r="F429" s="71" t="s">
        <v>39</v>
      </c>
      <c r="G429" s="27" t="s">
        <v>40</v>
      </c>
      <c r="H429" s="27">
        <v>1</v>
      </c>
      <c r="I429" s="45">
        <v>44255.61</v>
      </c>
      <c r="J429" s="45">
        <v>44255</v>
      </c>
      <c r="K429" s="45">
        <v>0</v>
      </c>
      <c r="L429" s="45"/>
      <c r="M429" s="45">
        <v>23359.78</v>
      </c>
      <c r="N429" s="45"/>
      <c r="O429" s="45">
        <v>1253.6399999999999</v>
      </c>
      <c r="P429" s="118">
        <v>19641.580000000002</v>
      </c>
      <c r="Q429" s="76">
        <v>0</v>
      </c>
      <c r="R429" s="32">
        <f t="shared" si="235"/>
        <v>24613.42</v>
      </c>
      <c r="S429" s="60">
        <f t="shared" si="238"/>
        <v>-4971.8399999999965</v>
      </c>
      <c r="T429" s="60"/>
      <c r="U429" s="32">
        <f t="shared" si="236"/>
        <v>19641.580000000002</v>
      </c>
      <c r="V429" s="32"/>
      <c r="W429" s="76">
        <v>0</v>
      </c>
      <c r="X429" s="60"/>
      <c r="Y429" s="60"/>
      <c r="Z429" s="32">
        <f t="shared" si="237"/>
        <v>19641.580000000002</v>
      </c>
      <c r="AA429" s="34" t="s">
        <v>516</v>
      </c>
      <c r="AB429" s="127"/>
    </row>
    <row r="430" spans="1:30" ht="15" customHeight="1" x14ac:dyDescent="0.35">
      <c r="A430" s="264"/>
      <c r="B430" s="265"/>
      <c r="C430" s="266"/>
      <c r="D430" s="50" t="s">
        <v>17</v>
      </c>
      <c r="E430" s="50" t="s">
        <v>161</v>
      </c>
      <c r="F430" s="71" t="s">
        <v>39</v>
      </c>
      <c r="G430" s="27" t="s">
        <v>257</v>
      </c>
      <c r="H430" s="27">
        <v>5</v>
      </c>
      <c r="I430" s="45">
        <v>2250</v>
      </c>
      <c r="J430" s="45">
        <v>14375</v>
      </c>
      <c r="K430" s="45">
        <v>0</v>
      </c>
      <c r="L430" s="45">
        <v>0</v>
      </c>
      <c r="M430" s="45"/>
      <c r="N430" s="45">
        <v>1260.44</v>
      </c>
      <c r="O430" s="45">
        <v>5568.24</v>
      </c>
      <c r="P430" s="118">
        <v>7546.32</v>
      </c>
      <c r="Q430" s="76"/>
      <c r="R430" s="32">
        <f t="shared" si="235"/>
        <v>6828.68</v>
      </c>
      <c r="S430" s="60">
        <f t="shared" si="238"/>
        <v>717.63999999999942</v>
      </c>
      <c r="T430" s="60"/>
      <c r="U430" s="32">
        <f t="shared" si="236"/>
        <v>7546.32</v>
      </c>
      <c r="V430" s="32"/>
      <c r="W430" s="76">
        <v>0</v>
      </c>
      <c r="X430" s="60"/>
      <c r="Y430" s="60"/>
      <c r="Z430" s="32">
        <f t="shared" si="237"/>
        <v>7546.32</v>
      </c>
      <c r="AA430" s="88" t="s">
        <v>517</v>
      </c>
      <c r="AB430" s="127"/>
    </row>
    <row r="431" spans="1:30" ht="15" customHeight="1" x14ac:dyDescent="0.35">
      <c r="A431" s="264"/>
      <c r="B431" s="265"/>
      <c r="C431" s="266"/>
      <c r="D431" s="263"/>
      <c r="E431" s="263"/>
      <c r="F431" s="263"/>
      <c r="G431" s="263"/>
      <c r="H431" s="263"/>
      <c r="I431" s="263"/>
      <c r="J431" s="54">
        <f>SUM(J418:J430)</f>
        <v>1169400</v>
      </c>
      <c r="K431" s="54">
        <f t="shared" ref="K431:L431" si="239">SUM(K418:K430)</f>
        <v>0</v>
      </c>
      <c r="L431" s="54">
        <f t="shared" si="239"/>
        <v>0</v>
      </c>
      <c r="M431" s="54">
        <v>478262.20999999996</v>
      </c>
      <c r="N431" s="54">
        <v>158778.71</v>
      </c>
      <c r="O431" s="54">
        <v>179692.23000000004</v>
      </c>
      <c r="P431" s="54">
        <f>SUM(P418:P430)</f>
        <v>352666.85000000003</v>
      </c>
      <c r="Q431" s="54">
        <f t="shared" ref="Q431:Z431" si="240">SUM(Q418:Q430)</f>
        <v>240155.8</v>
      </c>
      <c r="R431" s="54">
        <f t="shared" si="240"/>
        <v>1056888.9500000002</v>
      </c>
      <c r="S431" s="54">
        <f t="shared" si="240"/>
        <v>-677675.29999999993</v>
      </c>
      <c r="T431" s="54">
        <f t="shared" si="240"/>
        <v>0</v>
      </c>
      <c r="U431" s="54">
        <f t="shared" si="240"/>
        <v>112511.05000000002</v>
      </c>
      <c r="V431" s="54">
        <f t="shared" si="240"/>
        <v>83494.02</v>
      </c>
      <c r="W431" s="54">
        <f t="shared" si="240"/>
        <v>40372.006666666668</v>
      </c>
      <c r="X431" s="54">
        <f t="shared" si="240"/>
        <v>13866.026666666667</v>
      </c>
      <c r="Y431" s="54">
        <f t="shared" si="240"/>
        <v>13866.026666666667</v>
      </c>
      <c r="Z431" s="54">
        <f t="shared" si="240"/>
        <v>44406.990000000027</v>
      </c>
      <c r="AA431" s="239"/>
      <c r="AB431" s="125" t="s">
        <v>1131</v>
      </c>
    </row>
    <row r="432" spans="1:30" ht="15" customHeight="1" x14ac:dyDescent="0.35">
      <c r="A432" s="264"/>
      <c r="B432" s="265"/>
      <c r="C432" s="266"/>
      <c r="D432" s="50" t="s">
        <v>17</v>
      </c>
      <c r="E432" s="50" t="s">
        <v>34</v>
      </c>
      <c r="F432" s="71" t="s">
        <v>28</v>
      </c>
      <c r="G432" s="27" t="s">
        <v>29</v>
      </c>
      <c r="H432" s="27">
        <v>6</v>
      </c>
      <c r="I432" s="45">
        <v>3533.3330000000001</v>
      </c>
      <c r="J432" s="45">
        <v>250333</v>
      </c>
      <c r="K432" s="45">
        <v>0</v>
      </c>
      <c r="L432" s="45"/>
      <c r="M432" s="45">
        <v>56099.77</v>
      </c>
      <c r="N432" s="45">
        <v>42000.1</v>
      </c>
      <c r="O432" s="45">
        <v>42232.14</v>
      </c>
      <c r="P432" s="118">
        <v>110000.98999999999</v>
      </c>
      <c r="Q432" s="76">
        <v>42372.639999999999</v>
      </c>
      <c r="R432" s="32">
        <f t="shared" ref="R432:R439" si="241">L432+M432+N432+O432+Q432</f>
        <v>182704.65000000002</v>
      </c>
      <c r="S432" s="76">
        <f t="shared" ref="S432:S440" si="242">P432-R432</f>
        <v>-72703.660000000033</v>
      </c>
      <c r="T432" s="76"/>
      <c r="U432" s="32">
        <f t="shared" ref="U432:U440" si="243">P432-Q432</f>
        <v>67628.349999999991</v>
      </c>
      <c r="V432" s="32">
        <v>28248.42</v>
      </c>
      <c r="W432" s="76">
        <f>42372.64-V432</f>
        <v>14124.220000000001</v>
      </c>
      <c r="X432" s="76">
        <v>42372.639999999999</v>
      </c>
      <c r="Y432" s="76">
        <v>42372.639999999999</v>
      </c>
      <c r="Z432" s="32">
        <f t="shared" ref="Z432:Z440" si="244">U432-(W432+X432+Y432)</f>
        <v>-31241.150000000009</v>
      </c>
      <c r="AA432" s="34" t="s">
        <v>518</v>
      </c>
      <c r="AB432" s="234" t="s">
        <v>1110</v>
      </c>
    </row>
    <row r="433" spans="1:28" ht="41" customHeight="1" x14ac:dyDescent="0.35">
      <c r="A433" s="264"/>
      <c r="B433" s="265"/>
      <c r="C433" s="266"/>
      <c r="D433" s="50" t="s">
        <v>17</v>
      </c>
      <c r="E433" s="50" t="s">
        <v>34</v>
      </c>
      <c r="F433" s="71" t="s">
        <v>28</v>
      </c>
      <c r="G433" s="27" t="s">
        <v>29</v>
      </c>
      <c r="H433" s="27">
        <v>6</v>
      </c>
      <c r="I433" s="45">
        <v>1963</v>
      </c>
      <c r="J433" s="45">
        <v>129567</v>
      </c>
      <c r="K433" s="45">
        <v>0</v>
      </c>
      <c r="L433" s="45"/>
      <c r="M433" s="45">
        <v>25525.119999999999</v>
      </c>
      <c r="N433" s="45">
        <v>23462.54</v>
      </c>
      <c r="O433" s="45">
        <v>23462.48</v>
      </c>
      <c r="P433" s="118">
        <v>57116.86</v>
      </c>
      <c r="Q433" s="76">
        <v>24548.43</v>
      </c>
      <c r="R433" s="32">
        <f t="shared" si="241"/>
        <v>96998.57</v>
      </c>
      <c r="S433" s="76">
        <f t="shared" si="242"/>
        <v>-39881.710000000006</v>
      </c>
      <c r="T433" s="76"/>
      <c r="U433" s="32">
        <f t="shared" si="243"/>
        <v>32568.43</v>
      </c>
      <c r="V433" s="32">
        <v>16365.62</v>
      </c>
      <c r="W433" s="76">
        <f>24548.43-V433</f>
        <v>8182.8099999999995</v>
      </c>
      <c r="X433" s="76">
        <v>24548.43</v>
      </c>
      <c r="Y433" s="76">
        <v>24548.43</v>
      </c>
      <c r="Z433" s="32">
        <f t="shared" si="244"/>
        <v>-24711.239999999998</v>
      </c>
      <c r="AA433" s="88" t="s">
        <v>519</v>
      </c>
      <c r="AB433" s="234" t="s">
        <v>1111</v>
      </c>
    </row>
    <row r="434" spans="1:28" ht="51" customHeight="1" x14ac:dyDescent="0.35">
      <c r="A434" s="264"/>
      <c r="B434" s="265"/>
      <c r="C434" s="266"/>
      <c r="D434" s="50" t="s">
        <v>17</v>
      </c>
      <c r="E434" s="50" t="s">
        <v>34</v>
      </c>
      <c r="F434" s="71" t="s">
        <v>28</v>
      </c>
      <c r="G434" s="27" t="s">
        <v>29</v>
      </c>
      <c r="H434" s="27">
        <v>6</v>
      </c>
      <c r="I434" s="45">
        <v>1884.5</v>
      </c>
      <c r="J434" s="45">
        <v>114400</v>
      </c>
      <c r="K434" s="45">
        <v>0</v>
      </c>
      <c r="L434" s="45"/>
      <c r="M434" s="45">
        <v>18396.849999999999</v>
      </c>
      <c r="N434" s="45">
        <v>22524.06</v>
      </c>
      <c r="O434" s="45">
        <v>22524.059999999998</v>
      </c>
      <c r="P434" s="118">
        <v>50955.03</v>
      </c>
      <c r="Q434" s="76">
        <v>22598.989999999998</v>
      </c>
      <c r="R434" s="32">
        <f t="shared" si="241"/>
        <v>86043.959999999992</v>
      </c>
      <c r="S434" s="76">
        <f t="shared" si="242"/>
        <v>-35088.929999999993</v>
      </c>
      <c r="T434" s="76"/>
      <c r="U434" s="32">
        <f t="shared" si="243"/>
        <v>28356.04</v>
      </c>
      <c r="V434" s="32"/>
      <c r="W434" s="76"/>
      <c r="X434" s="60"/>
      <c r="Y434" s="60"/>
      <c r="Z434" s="32">
        <f t="shared" si="244"/>
        <v>28356.04</v>
      </c>
      <c r="AA434" s="34" t="s">
        <v>520</v>
      </c>
      <c r="AB434" s="234" t="s">
        <v>1111</v>
      </c>
    </row>
    <row r="435" spans="1:28" ht="15" customHeight="1" x14ac:dyDescent="0.35">
      <c r="A435" s="264"/>
      <c r="B435" s="265"/>
      <c r="C435" s="266"/>
      <c r="D435" s="50" t="s">
        <v>17</v>
      </c>
      <c r="E435" s="50" t="s">
        <v>34</v>
      </c>
      <c r="F435" s="71" t="s">
        <v>69</v>
      </c>
      <c r="G435" s="27" t="s">
        <v>55</v>
      </c>
      <c r="H435" s="27">
        <v>36</v>
      </c>
      <c r="I435" s="45">
        <v>1100</v>
      </c>
      <c r="J435" s="45">
        <v>39600</v>
      </c>
      <c r="K435" s="45">
        <v>0</v>
      </c>
      <c r="L435" s="45"/>
      <c r="M435" s="45">
        <v>2584.77</v>
      </c>
      <c r="N435" s="45"/>
      <c r="O435" s="45">
        <v>7396.03</v>
      </c>
      <c r="P435" s="118">
        <v>29619.200000000001</v>
      </c>
      <c r="Q435" s="76">
        <v>3357.5499999999997</v>
      </c>
      <c r="R435" s="32">
        <f t="shared" si="241"/>
        <v>13338.349999999999</v>
      </c>
      <c r="S435" s="76">
        <f t="shared" si="242"/>
        <v>16280.850000000002</v>
      </c>
      <c r="T435" s="76"/>
      <c r="U435" s="32">
        <f t="shared" si="243"/>
        <v>26261.65</v>
      </c>
      <c r="V435" s="32"/>
      <c r="W435" s="76"/>
      <c r="X435" s="60"/>
      <c r="Y435" s="60"/>
      <c r="Z435" s="32">
        <f t="shared" si="244"/>
        <v>26261.65</v>
      </c>
      <c r="AA435" s="34" t="s">
        <v>521</v>
      </c>
      <c r="AB435" s="127"/>
    </row>
    <row r="436" spans="1:28" ht="15" customHeight="1" x14ac:dyDescent="0.35">
      <c r="A436" s="264"/>
      <c r="B436" s="265"/>
      <c r="C436" s="266"/>
      <c r="D436" s="50" t="s">
        <v>17</v>
      </c>
      <c r="E436" s="50" t="s">
        <v>34</v>
      </c>
      <c r="F436" s="71" t="s">
        <v>36</v>
      </c>
      <c r="G436" s="27"/>
      <c r="H436" s="27"/>
      <c r="I436" s="45"/>
      <c r="J436" s="45">
        <v>0</v>
      </c>
      <c r="K436" s="45">
        <v>0</v>
      </c>
      <c r="L436" s="45"/>
      <c r="M436" s="45">
        <v>7606.2</v>
      </c>
      <c r="N436" s="45"/>
      <c r="O436" s="45">
        <v>0</v>
      </c>
      <c r="P436" s="118">
        <v>-7606.2</v>
      </c>
      <c r="Q436" s="76">
        <v>0</v>
      </c>
      <c r="R436" s="32">
        <f t="shared" si="241"/>
        <v>7606.2</v>
      </c>
      <c r="S436" s="76">
        <f t="shared" si="242"/>
        <v>-15212.4</v>
      </c>
      <c r="T436" s="76"/>
      <c r="U436" s="32">
        <f t="shared" si="243"/>
        <v>-7606.2</v>
      </c>
      <c r="V436" s="32"/>
      <c r="W436" s="76"/>
      <c r="X436" s="60"/>
      <c r="Y436" s="60"/>
      <c r="Z436" s="32">
        <f t="shared" si="244"/>
        <v>-7606.2</v>
      </c>
      <c r="AA436" s="34"/>
      <c r="AB436" s="127"/>
    </row>
    <row r="437" spans="1:28" ht="15" customHeight="1" x14ac:dyDescent="0.35">
      <c r="A437" s="264"/>
      <c r="B437" s="265"/>
      <c r="C437" s="266"/>
      <c r="D437" s="50" t="s">
        <v>17</v>
      </c>
      <c r="E437" s="50" t="s">
        <v>34</v>
      </c>
      <c r="F437" s="71" t="s">
        <v>61</v>
      </c>
      <c r="G437" s="27" t="s">
        <v>86</v>
      </c>
      <c r="H437" s="27">
        <v>1</v>
      </c>
      <c r="I437" s="45">
        <v>14000</v>
      </c>
      <c r="J437" s="45">
        <v>14000</v>
      </c>
      <c r="K437" s="45">
        <v>0</v>
      </c>
      <c r="L437" s="45"/>
      <c r="M437" s="45">
        <v>6262.84</v>
      </c>
      <c r="N437" s="45">
        <v>170.3</v>
      </c>
      <c r="O437" s="45">
        <v>1725.6000000000001</v>
      </c>
      <c r="P437" s="118">
        <v>5841.2599999999993</v>
      </c>
      <c r="Q437" s="76">
        <v>4695.72</v>
      </c>
      <c r="R437" s="32">
        <f t="shared" si="241"/>
        <v>12854.460000000001</v>
      </c>
      <c r="S437" s="76">
        <f t="shared" si="242"/>
        <v>-7013.2000000000016</v>
      </c>
      <c r="T437" s="76"/>
      <c r="U437" s="32">
        <f t="shared" si="243"/>
        <v>1145.5399999999991</v>
      </c>
      <c r="V437" s="32"/>
      <c r="W437" s="76"/>
      <c r="X437" s="60"/>
      <c r="Y437" s="60"/>
      <c r="Z437" s="32">
        <f t="shared" si="244"/>
        <v>1145.5399999999991</v>
      </c>
      <c r="AA437" s="88" t="s">
        <v>522</v>
      </c>
      <c r="AB437" s="235"/>
    </row>
    <row r="438" spans="1:28" ht="15" customHeight="1" x14ac:dyDescent="0.35">
      <c r="A438" s="264"/>
      <c r="B438" s="265"/>
      <c r="C438" s="266"/>
      <c r="D438" s="50" t="s">
        <v>17</v>
      </c>
      <c r="E438" s="50" t="s">
        <v>34</v>
      </c>
      <c r="F438" s="71" t="s">
        <v>513</v>
      </c>
      <c r="G438" s="27" t="s">
        <v>86</v>
      </c>
      <c r="H438" s="27">
        <v>5</v>
      </c>
      <c r="I438" s="45">
        <v>5000</v>
      </c>
      <c r="J438" s="45">
        <v>30000</v>
      </c>
      <c r="K438" s="45">
        <v>0</v>
      </c>
      <c r="L438" s="45"/>
      <c r="M438" s="45"/>
      <c r="N438" s="45"/>
      <c r="O438" s="45">
        <v>1358.25</v>
      </c>
      <c r="P438" s="118">
        <v>28641.75</v>
      </c>
      <c r="Q438" s="76">
        <v>5859.91</v>
      </c>
      <c r="R438" s="32">
        <f t="shared" si="241"/>
        <v>7218.16</v>
      </c>
      <c r="S438" s="76">
        <f t="shared" si="242"/>
        <v>21423.59</v>
      </c>
      <c r="T438" s="76"/>
      <c r="U438" s="32">
        <f t="shared" si="243"/>
        <v>22781.84</v>
      </c>
      <c r="V438" s="32"/>
      <c r="W438" s="76">
        <v>6700</v>
      </c>
      <c r="X438" s="60">
        <v>3581.84</v>
      </c>
      <c r="Y438" s="60">
        <v>3500</v>
      </c>
      <c r="Z438" s="32">
        <f t="shared" si="244"/>
        <v>9000</v>
      </c>
      <c r="AA438" s="34" t="s">
        <v>523</v>
      </c>
      <c r="AB438" s="235"/>
    </row>
    <row r="439" spans="1:28" ht="15" customHeight="1" x14ac:dyDescent="0.35">
      <c r="A439" s="264"/>
      <c r="B439" s="265"/>
      <c r="C439" s="266"/>
      <c r="D439" s="50" t="s">
        <v>17</v>
      </c>
      <c r="E439" s="50" t="s">
        <v>34</v>
      </c>
      <c r="F439" s="71" t="s">
        <v>73</v>
      </c>
      <c r="G439" s="27" t="s">
        <v>29</v>
      </c>
      <c r="H439" s="27">
        <v>6</v>
      </c>
      <c r="I439" s="45">
        <v>2066.6666660000001</v>
      </c>
      <c r="J439" s="45">
        <v>27920</v>
      </c>
      <c r="K439" s="45">
        <v>0</v>
      </c>
      <c r="L439" s="45"/>
      <c r="M439" s="45">
        <v>2680.57</v>
      </c>
      <c r="N439" s="45">
        <v>746.41</v>
      </c>
      <c r="O439" s="45">
        <v>7796.5400000000009</v>
      </c>
      <c r="P439" s="118">
        <v>16696.48</v>
      </c>
      <c r="Q439" s="76">
        <v>11138.1</v>
      </c>
      <c r="R439" s="32">
        <f t="shared" si="241"/>
        <v>22361.620000000003</v>
      </c>
      <c r="S439" s="76">
        <f t="shared" si="242"/>
        <v>-5665.1400000000031</v>
      </c>
      <c r="T439" s="76"/>
      <c r="U439" s="32">
        <f t="shared" si="243"/>
        <v>5558.3799999999992</v>
      </c>
      <c r="V439" s="32"/>
      <c r="W439" s="76"/>
      <c r="X439" s="60"/>
      <c r="Y439" s="60"/>
      <c r="Z439" s="32">
        <f t="shared" si="244"/>
        <v>5558.3799999999992</v>
      </c>
      <c r="AA439" s="34" t="s">
        <v>524</v>
      </c>
      <c r="AB439" s="127"/>
    </row>
    <row r="440" spans="1:28" ht="15" customHeight="1" x14ac:dyDescent="0.35">
      <c r="A440" s="264"/>
      <c r="B440" s="265"/>
      <c r="C440" s="266"/>
      <c r="D440" s="50" t="s">
        <v>17</v>
      </c>
      <c r="E440" s="50" t="s">
        <v>34</v>
      </c>
      <c r="F440" s="71" t="s">
        <v>39</v>
      </c>
      <c r="G440" s="27" t="s">
        <v>257</v>
      </c>
      <c r="H440" s="27"/>
      <c r="I440" s="45"/>
      <c r="J440" s="45">
        <v>42180</v>
      </c>
      <c r="K440" s="45">
        <v>0</v>
      </c>
      <c r="L440" s="45"/>
      <c r="M440" s="45">
        <v>10571.11</v>
      </c>
      <c r="N440" s="45">
        <v>3180.47</v>
      </c>
      <c r="O440" s="45">
        <v>2651.08</v>
      </c>
      <c r="P440" s="118">
        <v>25777.34</v>
      </c>
      <c r="Q440" s="76">
        <v>272.55</v>
      </c>
      <c r="R440" s="32">
        <f>L440+M440+N440+O440+Q440</f>
        <v>16675.21</v>
      </c>
      <c r="S440" s="76">
        <f t="shared" si="242"/>
        <v>9102.130000000001</v>
      </c>
      <c r="T440" s="76"/>
      <c r="U440" s="32">
        <f t="shared" si="243"/>
        <v>25504.79</v>
      </c>
      <c r="V440" s="32"/>
      <c r="W440" s="76"/>
      <c r="X440" s="60"/>
      <c r="Y440" s="60"/>
      <c r="Z440" s="32">
        <f t="shared" si="244"/>
        <v>25504.79</v>
      </c>
      <c r="AA440" s="88" t="s">
        <v>525</v>
      </c>
      <c r="AB440" s="127"/>
    </row>
    <row r="441" spans="1:28" ht="15" customHeight="1" x14ac:dyDescent="0.35">
      <c r="A441" s="264"/>
      <c r="B441" s="265"/>
      <c r="C441" s="266"/>
      <c r="D441" s="53"/>
      <c r="E441" s="53"/>
      <c r="F441" s="74"/>
      <c r="G441" s="41"/>
      <c r="H441" s="41"/>
      <c r="I441" s="54"/>
      <c r="J441" s="54">
        <f>SUM(J432:J440)</f>
        <v>648000</v>
      </c>
      <c r="K441" s="54">
        <f t="shared" ref="K441:Q441" si="245">SUM(K432:K440)</f>
        <v>0</v>
      </c>
      <c r="L441" s="54">
        <f t="shared" si="245"/>
        <v>0</v>
      </c>
      <c r="M441" s="54">
        <f t="shared" si="245"/>
        <v>129727.23</v>
      </c>
      <c r="N441" s="54">
        <f t="shared" si="245"/>
        <v>92083.88</v>
      </c>
      <c r="O441" s="54">
        <f t="shared" si="245"/>
        <v>109146.18000000001</v>
      </c>
      <c r="P441" s="54">
        <f>SUM(P432:P440)</f>
        <v>317042.71000000002</v>
      </c>
      <c r="Q441" s="54">
        <f t="shared" si="245"/>
        <v>114843.89000000001</v>
      </c>
      <c r="R441" s="54">
        <f>SUM(R432:R440)</f>
        <v>445801.18000000005</v>
      </c>
      <c r="S441" s="54">
        <f t="shared" ref="S441:T441" si="246">SUM(S432:S440)</f>
        <v>-128758.47000000006</v>
      </c>
      <c r="T441" s="54">
        <f t="shared" si="246"/>
        <v>0</v>
      </c>
      <c r="U441" s="54">
        <f>SUM(U432:U440)</f>
        <v>202198.82</v>
      </c>
      <c r="V441" s="54">
        <f>SUM(V432:V440)</f>
        <v>44614.04</v>
      </c>
      <c r="W441" s="54">
        <f t="shared" ref="W441:Z441" si="247">SUM(W432:W440)</f>
        <v>29007.03</v>
      </c>
      <c r="X441" s="54">
        <f t="shared" si="247"/>
        <v>70502.91</v>
      </c>
      <c r="Y441" s="54">
        <f t="shared" si="247"/>
        <v>70421.070000000007</v>
      </c>
      <c r="Z441" s="54">
        <f t="shared" si="247"/>
        <v>32267.809999999994</v>
      </c>
      <c r="AA441" s="49"/>
      <c r="AB441" s="125" t="s">
        <v>1131</v>
      </c>
    </row>
    <row r="442" spans="1:28" ht="15" customHeight="1" x14ac:dyDescent="0.35">
      <c r="A442" s="264"/>
      <c r="B442" s="265"/>
      <c r="C442" s="267"/>
      <c r="D442" s="50" t="s">
        <v>17</v>
      </c>
      <c r="E442" s="50"/>
      <c r="F442" s="71" t="s">
        <v>275</v>
      </c>
      <c r="G442" s="27" t="s">
        <v>86</v>
      </c>
      <c r="H442" s="27">
        <v>1</v>
      </c>
      <c r="I442" s="45">
        <v>90870</v>
      </c>
      <c r="J442" s="45">
        <v>90870</v>
      </c>
      <c r="K442" s="45">
        <v>0</v>
      </c>
      <c r="L442" s="45">
        <v>0</v>
      </c>
      <c r="M442" s="45"/>
      <c r="N442" s="45">
        <v>0</v>
      </c>
      <c r="O442" s="45">
        <v>0</v>
      </c>
      <c r="P442" s="118">
        <v>90870</v>
      </c>
      <c r="Q442" s="126">
        <v>0</v>
      </c>
      <c r="R442" s="32">
        <f t="shared" ref="R442" si="248">L442+M442+N442+O442+Q442</f>
        <v>0</v>
      </c>
      <c r="S442" s="60">
        <f>P442-R442</f>
        <v>90870</v>
      </c>
      <c r="T442" s="60"/>
      <c r="U442" s="32">
        <f t="shared" ref="U442" si="249">P442-Q442</f>
        <v>90870</v>
      </c>
      <c r="V442" s="32"/>
      <c r="W442" s="126">
        <v>0</v>
      </c>
      <c r="X442" s="60"/>
      <c r="Y442" s="60"/>
      <c r="Z442" s="32">
        <v>51433.26</v>
      </c>
      <c r="AA442" s="34" t="s">
        <v>526</v>
      </c>
      <c r="AB442" s="127" t="s">
        <v>1155</v>
      </c>
    </row>
    <row r="443" spans="1:28" ht="15" customHeight="1" x14ac:dyDescent="0.35">
      <c r="A443" s="257" t="s">
        <v>277</v>
      </c>
      <c r="B443" s="257"/>
      <c r="C443" s="257"/>
      <c r="D443" s="257"/>
      <c r="E443" s="257"/>
      <c r="F443" s="257"/>
      <c r="G443" s="257"/>
      <c r="H443" s="257"/>
      <c r="I443" s="257"/>
      <c r="J443" s="69">
        <f>J431+J441+J442</f>
        <v>1908270</v>
      </c>
      <c r="K443" s="69">
        <f t="shared" ref="K443:O443" si="250">K431+K441+K442</f>
        <v>0</v>
      </c>
      <c r="L443" s="69">
        <f t="shared" si="250"/>
        <v>0</v>
      </c>
      <c r="M443" s="69">
        <f t="shared" si="250"/>
        <v>607989.43999999994</v>
      </c>
      <c r="N443" s="69">
        <f t="shared" si="250"/>
        <v>250862.59</v>
      </c>
      <c r="O443" s="69">
        <f t="shared" si="250"/>
        <v>288838.41000000003</v>
      </c>
      <c r="P443" s="69">
        <f>P431+P441+P442</f>
        <v>760579.56</v>
      </c>
      <c r="Q443" s="69">
        <f t="shared" ref="Q443:Y443" si="251">Q431+Q441+Q442</f>
        <v>354999.69</v>
      </c>
      <c r="R443" s="69">
        <f t="shared" si="251"/>
        <v>1502690.1300000004</v>
      </c>
      <c r="S443" s="69">
        <f t="shared" si="251"/>
        <v>-715563.77</v>
      </c>
      <c r="T443" s="69">
        <f t="shared" si="251"/>
        <v>0</v>
      </c>
      <c r="U443" s="69">
        <f t="shared" si="251"/>
        <v>405579.87</v>
      </c>
      <c r="V443" s="69">
        <f t="shared" si="251"/>
        <v>128108.06</v>
      </c>
      <c r="W443" s="69">
        <f t="shared" si="251"/>
        <v>69379.036666666667</v>
      </c>
      <c r="X443" s="69">
        <f>X431+X441+X442</f>
        <v>84368.936666666676</v>
      </c>
      <c r="Y443" s="69">
        <f t="shared" si="251"/>
        <v>84287.096666666679</v>
      </c>
      <c r="Z443" s="69">
        <f>Z431+Z441+Z442</f>
        <v>128108.06000000003</v>
      </c>
      <c r="AA443" s="156" t="s">
        <v>2</v>
      </c>
      <c r="AB443" s="157" t="s">
        <v>2</v>
      </c>
    </row>
    <row r="444" spans="1:28" ht="15" customHeight="1" x14ac:dyDescent="0.35">
      <c r="A444" s="257" t="s">
        <v>527</v>
      </c>
      <c r="B444" s="257"/>
      <c r="C444" s="257"/>
      <c r="D444" s="257"/>
      <c r="E444" s="257"/>
      <c r="F444" s="257"/>
      <c r="G444" s="257"/>
      <c r="H444" s="257"/>
      <c r="I444" s="257"/>
      <c r="J444" s="89">
        <f t="shared" ref="J444:Z444" si="252">J215+J321+J378+J417+J443</f>
        <v>18106904.999076001</v>
      </c>
      <c r="K444" s="89">
        <f t="shared" si="252"/>
        <v>1746992</v>
      </c>
      <c r="L444" s="89">
        <f t="shared" si="252"/>
        <v>0</v>
      </c>
      <c r="M444" s="89">
        <f t="shared" si="252"/>
        <v>1676599.85</v>
      </c>
      <c r="N444" s="89">
        <f t="shared" si="252"/>
        <v>772756.96033180004</v>
      </c>
      <c r="O444" s="89">
        <f t="shared" si="252"/>
        <v>1948060.0958341197</v>
      </c>
      <c r="P444" s="89">
        <f t="shared" si="252"/>
        <v>13709488.069593096</v>
      </c>
      <c r="Q444" s="89">
        <f t="shared" si="252"/>
        <v>3339347.1721477015</v>
      </c>
      <c r="R444" s="89">
        <f t="shared" si="252"/>
        <v>7736764.0783136208</v>
      </c>
      <c r="S444" s="89">
        <f t="shared" si="252"/>
        <v>6000434.6812794749</v>
      </c>
      <c r="T444" s="89" t="e">
        <f t="shared" si="252"/>
        <v>#REF!</v>
      </c>
      <c r="U444" s="89">
        <f t="shared" si="252"/>
        <v>10370140.897445394</v>
      </c>
      <c r="V444" s="89">
        <f t="shared" si="252"/>
        <v>1825678.7400400001</v>
      </c>
      <c r="W444" s="89">
        <f>W215+W321+W378+W417+W443</f>
        <v>1591773.7266666666</v>
      </c>
      <c r="X444" s="89">
        <f>X215+X321+X378+X417+X443</f>
        <v>3931509.8066666662</v>
      </c>
      <c r="Y444" s="89">
        <f t="shared" si="252"/>
        <v>2392591.6166666667</v>
      </c>
      <c r="Z444" s="89">
        <f t="shared" si="252"/>
        <v>2014872.5174453943</v>
      </c>
      <c r="AA444" s="89" t="s">
        <v>2</v>
      </c>
      <c r="AB444" s="158" t="s">
        <v>2</v>
      </c>
    </row>
    <row r="445" spans="1:28" s="90" customFormat="1" ht="15" customHeight="1" x14ac:dyDescent="0.35">
      <c r="D445" s="91"/>
      <c r="F445" s="92"/>
      <c r="G445" s="93"/>
      <c r="H445" s="93"/>
      <c r="Q445" s="99"/>
      <c r="R445" s="99"/>
      <c r="S445" s="94"/>
      <c r="T445" s="94"/>
      <c r="U445" s="99">
        <f>U444-W444-X444-Y444</f>
        <v>2454265.7474453938</v>
      </c>
      <c r="V445" s="99"/>
      <c r="W445" s="236"/>
      <c r="X445" s="99"/>
      <c r="Y445" s="99"/>
      <c r="Z445" s="99"/>
      <c r="AB445" s="159"/>
    </row>
    <row r="446" spans="1:28" s="103" customFormat="1" ht="15" customHeight="1" x14ac:dyDescent="0.25">
      <c r="C446" s="103" t="s">
        <v>1134</v>
      </c>
      <c r="D446" s="95"/>
      <c r="F446" s="102"/>
      <c r="G446" s="242"/>
      <c r="Q446" s="94"/>
      <c r="R446" s="94"/>
      <c r="S446" s="94"/>
      <c r="T446" s="94"/>
      <c r="U446" s="94"/>
      <c r="V446" s="94"/>
      <c r="W446" s="94"/>
      <c r="X446" s="94"/>
      <c r="Y446" s="94"/>
      <c r="Z446" s="94"/>
      <c r="AB446" s="159"/>
    </row>
    <row r="447" spans="1:28" s="103" customFormat="1" ht="15" customHeight="1" x14ac:dyDescent="0.25">
      <c r="D447" s="95"/>
      <c r="F447" s="102"/>
      <c r="H447" s="103" t="s">
        <v>1156</v>
      </c>
      <c r="J447" s="242">
        <f>M443+N443+O443+Q443+W443+X443+Y443</f>
        <v>1740725.2</v>
      </c>
      <c r="Q447" s="94"/>
      <c r="R447" s="94"/>
      <c r="S447" s="94"/>
      <c r="T447" s="94"/>
      <c r="U447" s="94"/>
      <c r="V447" s="94"/>
      <c r="W447" s="94"/>
      <c r="X447" s="94"/>
      <c r="Y447" s="94"/>
      <c r="Z447" s="94"/>
      <c r="AB447" s="159"/>
    </row>
    <row r="448" spans="1:28" s="103" customFormat="1" ht="15" customHeight="1" x14ac:dyDescent="0.25">
      <c r="D448" s="95"/>
      <c r="F448" s="102"/>
      <c r="J448" s="252">
        <f>J444-J447</f>
        <v>16366179.799076002</v>
      </c>
      <c r="Q448" s="94"/>
      <c r="R448" s="94"/>
      <c r="S448" s="94"/>
      <c r="T448" s="94"/>
      <c r="U448" s="94"/>
      <c r="V448" s="94"/>
      <c r="W448" s="94"/>
      <c r="X448" s="94"/>
      <c r="Y448" s="94"/>
      <c r="Z448" s="94"/>
      <c r="AB448" s="159"/>
    </row>
    <row r="449" spans="4:28" s="103" customFormat="1" ht="15" customHeight="1" x14ac:dyDescent="0.25">
      <c r="D449" s="95"/>
      <c r="F449" s="102"/>
      <c r="J449" s="253">
        <f>J447/J448</f>
        <v>0.10636111917200601</v>
      </c>
      <c r="Q449" s="94"/>
      <c r="R449" s="94"/>
      <c r="S449" s="94"/>
      <c r="T449" s="94"/>
      <c r="U449" s="94"/>
      <c r="V449" s="94"/>
      <c r="W449" s="94"/>
      <c r="X449" s="94"/>
      <c r="Y449" s="94"/>
      <c r="Z449" s="94"/>
      <c r="AB449" s="159"/>
    </row>
    <row r="450" spans="4:28" s="103" customFormat="1" ht="15" customHeight="1" x14ac:dyDescent="0.25">
      <c r="D450" s="95"/>
      <c r="F450" s="102"/>
      <c r="Q450" s="94"/>
      <c r="R450" s="94"/>
      <c r="S450" s="94"/>
      <c r="T450" s="94"/>
      <c r="U450" s="94"/>
      <c r="V450" s="94"/>
      <c r="W450" s="94"/>
      <c r="X450" s="94"/>
      <c r="Y450" s="94"/>
      <c r="Z450" s="94"/>
      <c r="AB450" s="159"/>
    </row>
    <row r="451" spans="4:28" s="90" customFormat="1" ht="15" customHeight="1" x14ac:dyDescent="0.25">
      <c r="D451" s="104"/>
      <c r="F451" s="92"/>
      <c r="Q451" s="94"/>
      <c r="R451" s="94"/>
      <c r="S451" s="94"/>
      <c r="T451" s="94"/>
      <c r="U451" s="94"/>
      <c r="V451" s="94"/>
      <c r="W451" s="94"/>
      <c r="X451" s="94"/>
      <c r="Y451" s="94"/>
      <c r="Z451" s="94"/>
      <c r="AB451" s="159"/>
    </row>
    <row r="452" spans="4:28" s="90" customFormat="1" ht="15" customHeight="1" x14ac:dyDescent="0.25">
      <c r="D452" s="104"/>
      <c r="F452" s="92"/>
      <c r="Q452" s="94"/>
      <c r="R452" s="94"/>
      <c r="S452" s="94"/>
      <c r="T452" s="94"/>
      <c r="U452" s="94"/>
      <c r="V452" s="94"/>
      <c r="W452" s="94"/>
      <c r="X452" s="94"/>
      <c r="Y452" s="94"/>
      <c r="Z452" s="94"/>
      <c r="AB452" s="159"/>
    </row>
    <row r="453" spans="4:28" s="90" customFormat="1" ht="15" customHeight="1" x14ac:dyDescent="0.25">
      <c r="D453" s="104"/>
      <c r="F453" s="92"/>
      <c r="Q453" s="94"/>
      <c r="R453" s="94"/>
      <c r="S453" s="94"/>
      <c r="T453" s="94"/>
      <c r="U453" s="94"/>
      <c r="V453" s="94"/>
      <c r="W453" s="94"/>
      <c r="X453" s="94"/>
      <c r="Y453" s="94"/>
      <c r="Z453" s="94"/>
      <c r="AB453" s="159"/>
    </row>
    <row r="454" spans="4:28" s="90" customFormat="1" ht="15" customHeight="1" x14ac:dyDescent="0.25">
      <c r="D454" s="104"/>
      <c r="F454" s="92"/>
      <c r="Q454" s="94"/>
      <c r="R454" s="94"/>
      <c r="S454" s="94"/>
      <c r="T454" s="94"/>
      <c r="U454" s="94"/>
      <c r="V454" s="94"/>
      <c r="W454" s="94"/>
      <c r="X454" s="94"/>
      <c r="Y454" s="94"/>
      <c r="Z454" s="94"/>
      <c r="AB454" s="159"/>
    </row>
  </sheetData>
  <autoFilter ref="C4:AB444" xr:uid="{DEA679ED-AD57-4CD7-A85D-733982DDDD51}">
    <filterColumn colId="7" showButton="0"/>
    <filterColumn colId="9" showButton="0"/>
    <filterColumn colId="10" showButton="0"/>
    <filterColumn colId="11" showButton="0"/>
    <filterColumn colId="14" showButton="0"/>
    <filterColumn colId="15" showButton="0"/>
    <filterColumn colId="16" showButton="0"/>
  </autoFilter>
  <mergeCells count="76">
    <mergeCell ref="A2:P2"/>
    <mergeCell ref="C4:C7"/>
    <mergeCell ref="D4:D7"/>
    <mergeCell ref="E4:E7"/>
    <mergeCell ref="J4:K6"/>
    <mergeCell ref="L4:O6"/>
    <mergeCell ref="P4:P6"/>
    <mergeCell ref="Q4:T6"/>
    <mergeCell ref="AA4:AA7"/>
    <mergeCell ref="AB4:AB7"/>
    <mergeCell ref="A8:A212"/>
    <mergeCell ref="B8:B67"/>
    <mergeCell ref="C8:C12"/>
    <mergeCell ref="C14:C32"/>
    <mergeCell ref="AB14:AB16"/>
    <mergeCell ref="C34:C37"/>
    <mergeCell ref="C39:C51"/>
    <mergeCell ref="C161:C164"/>
    <mergeCell ref="C53:C59"/>
    <mergeCell ref="C61:C67"/>
    <mergeCell ref="B69:B212"/>
    <mergeCell ref="C69:C82"/>
    <mergeCell ref="C84:C93"/>
    <mergeCell ref="C95:C104"/>
    <mergeCell ref="C106:C109"/>
    <mergeCell ref="C111:C116"/>
    <mergeCell ref="C118:C122"/>
    <mergeCell ref="C124:C128"/>
    <mergeCell ref="A215:I215"/>
    <mergeCell ref="C130:C135"/>
    <mergeCell ref="C137:C140"/>
    <mergeCell ref="C142:C146"/>
    <mergeCell ref="C148:C153"/>
    <mergeCell ref="C155:C159"/>
    <mergeCell ref="C166:C171"/>
    <mergeCell ref="C173:C176"/>
    <mergeCell ref="C178:C193"/>
    <mergeCell ref="C195:C204"/>
    <mergeCell ref="C206:C212"/>
    <mergeCell ref="C262:C274"/>
    <mergeCell ref="C276:C286"/>
    <mergeCell ref="C288:C291"/>
    <mergeCell ref="B293:B310"/>
    <mergeCell ref="C293:C310"/>
    <mergeCell ref="C411:C414"/>
    <mergeCell ref="B312:B318"/>
    <mergeCell ref="C312:C318"/>
    <mergeCell ref="A321:I321"/>
    <mergeCell ref="A322:A377"/>
    <mergeCell ref="B322:B347"/>
    <mergeCell ref="C322:C347"/>
    <mergeCell ref="B349:B362"/>
    <mergeCell ref="C349:C357"/>
    <mergeCell ref="C359:C362"/>
    <mergeCell ref="B364:B374"/>
    <mergeCell ref="A216:A320"/>
    <mergeCell ref="B216:B291"/>
    <mergeCell ref="C216:C235"/>
    <mergeCell ref="C237:C245"/>
    <mergeCell ref="C247:C259"/>
    <mergeCell ref="AB322:AB324"/>
    <mergeCell ref="A444:I444"/>
    <mergeCell ref="A417:I417"/>
    <mergeCell ref="A418:A442"/>
    <mergeCell ref="B418:B442"/>
    <mergeCell ref="C418:C442"/>
    <mergeCell ref="D431:I431"/>
    <mergeCell ref="A443:I443"/>
    <mergeCell ref="C364:C375"/>
    <mergeCell ref="A378:I378"/>
    <mergeCell ref="A379:A416"/>
    <mergeCell ref="B379:B401"/>
    <mergeCell ref="C379:C388"/>
    <mergeCell ref="C390:C401"/>
    <mergeCell ref="B403:B414"/>
    <mergeCell ref="C403:C409"/>
  </mergeCells>
  <phoneticPr fontId="35" type="noConversion"/>
  <pageMargins left="0.7" right="0.7" top="0.75" bottom="0.75" header="0.3" footer="0.3"/>
  <pageSetup paperSize="8" scale="6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C0B35-F15F-4AB9-B1CC-E0EBD460A26D}">
  <dimension ref="A2:D99"/>
  <sheetViews>
    <sheetView topLeftCell="A49" workbookViewId="0">
      <selection activeCell="H13" sqref="H13"/>
    </sheetView>
  </sheetViews>
  <sheetFormatPr defaultColWidth="9.08984375" defaultRowHeight="14" x14ac:dyDescent="0.35"/>
  <cols>
    <col min="1" max="1" width="20.81640625" style="160" customWidth="1"/>
    <col min="2" max="2" width="16" style="161" customWidth="1"/>
    <col min="3" max="3" width="15.08984375" style="161" customWidth="1"/>
    <col min="4" max="4" width="17.08984375" style="164" customWidth="1"/>
    <col min="5" max="16384" width="9.08984375" style="160"/>
  </cols>
  <sheetData>
    <row r="2" spans="1:4" ht="20" customHeight="1" x14ac:dyDescent="0.35"/>
    <row r="3" spans="1:4" s="162" customFormat="1" ht="29.75" customHeight="1" x14ac:dyDescent="0.35">
      <c r="A3" s="165" t="s">
        <v>3</v>
      </c>
      <c r="B3" s="166" t="s">
        <v>665</v>
      </c>
      <c r="C3" s="166" t="s">
        <v>620</v>
      </c>
      <c r="D3" s="167" t="s">
        <v>663</v>
      </c>
    </row>
    <row r="4" spans="1:4" ht="20" customHeight="1" x14ac:dyDescent="0.35">
      <c r="A4" s="168" t="s">
        <v>621</v>
      </c>
      <c r="B4" s="171">
        <v>139400</v>
      </c>
      <c r="C4" s="171">
        <v>139400</v>
      </c>
      <c r="D4" s="172">
        <f>B4-C4</f>
        <v>0</v>
      </c>
    </row>
    <row r="5" spans="1:4" ht="20" customHeight="1" x14ac:dyDescent="0.35">
      <c r="A5" s="168" t="s">
        <v>622</v>
      </c>
      <c r="B5" s="171">
        <v>380004</v>
      </c>
      <c r="C5" s="171">
        <v>380004</v>
      </c>
      <c r="D5" s="172">
        <f t="shared" ref="D5:D29" si="0">B5-C5</f>
        <v>0</v>
      </c>
    </row>
    <row r="6" spans="1:4" ht="20" customHeight="1" x14ac:dyDescent="0.35">
      <c r="A6" s="168" t="s">
        <v>623</v>
      </c>
      <c r="B6" s="171">
        <v>33750</v>
      </c>
      <c r="C6" s="171">
        <v>33750</v>
      </c>
      <c r="D6" s="172">
        <f t="shared" si="0"/>
        <v>0</v>
      </c>
    </row>
    <row r="7" spans="1:4" ht="20" customHeight="1" x14ac:dyDescent="0.35">
      <c r="A7" s="168" t="s">
        <v>624</v>
      </c>
      <c r="B7" s="171">
        <v>367549</v>
      </c>
      <c r="C7" s="171">
        <v>353515.75</v>
      </c>
      <c r="D7" s="172">
        <f t="shared" si="0"/>
        <v>14033.25</v>
      </c>
    </row>
    <row r="8" spans="1:4" ht="20" customHeight="1" x14ac:dyDescent="0.35">
      <c r="A8" s="168" t="s">
        <v>625</v>
      </c>
      <c r="B8" s="171">
        <v>154000</v>
      </c>
      <c r="C8" s="171">
        <v>154000</v>
      </c>
      <c r="D8" s="172">
        <f t="shared" si="0"/>
        <v>0</v>
      </c>
    </row>
    <row r="9" spans="1:4" ht="20" customHeight="1" x14ac:dyDescent="0.35">
      <c r="A9" s="168" t="s">
        <v>626</v>
      </c>
      <c r="B9" s="171">
        <v>268000</v>
      </c>
      <c r="C9" s="171">
        <v>268000</v>
      </c>
      <c r="D9" s="172">
        <f t="shared" si="0"/>
        <v>0</v>
      </c>
    </row>
    <row r="10" spans="1:4" ht="20" customHeight="1" x14ac:dyDescent="0.35">
      <c r="A10" s="168" t="s">
        <v>627</v>
      </c>
      <c r="B10" s="171">
        <v>267274</v>
      </c>
      <c r="C10" s="171">
        <v>267274</v>
      </c>
      <c r="D10" s="172">
        <f t="shared" si="0"/>
        <v>0</v>
      </c>
    </row>
    <row r="11" spans="1:4" ht="20" customHeight="1" x14ac:dyDescent="0.35">
      <c r="A11" s="168" t="s">
        <v>628</v>
      </c>
      <c r="B11" s="171">
        <v>273326</v>
      </c>
      <c r="C11" s="171">
        <v>273326</v>
      </c>
      <c r="D11" s="172">
        <f t="shared" si="0"/>
        <v>0</v>
      </c>
    </row>
    <row r="12" spans="1:4" ht="20" customHeight="1" x14ac:dyDescent="0.35">
      <c r="A12" s="168" t="s">
        <v>629</v>
      </c>
      <c r="B12" s="171">
        <v>752395</v>
      </c>
      <c r="C12" s="171">
        <v>752395</v>
      </c>
      <c r="D12" s="172">
        <f t="shared" si="0"/>
        <v>0</v>
      </c>
    </row>
    <row r="13" spans="1:4" ht="20" customHeight="1" x14ac:dyDescent="0.35">
      <c r="A13" s="168" t="s">
        <v>630</v>
      </c>
      <c r="B13" s="171">
        <v>2108347</v>
      </c>
      <c r="C13" s="171">
        <v>2108347</v>
      </c>
      <c r="D13" s="172">
        <f t="shared" si="0"/>
        <v>0</v>
      </c>
    </row>
    <row r="14" spans="1:4" ht="20" customHeight="1" x14ac:dyDescent="0.35">
      <c r="A14" s="168" t="s">
        <v>631</v>
      </c>
      <c r="B14" s="171">
        <v>218500</v>
      </c>
      <c r="C14" s="171">
        <v>218500</v>
      </c>
      <c r="D14" s="172">
        <f t="shared" si="0"/>
        <v>0</v>
      </c>
    </row>
    <row r="15" spans="1:4" ht="20" customHeight="1" x14ac:dyDescent="0.35">
      <c r="A15" s="168" t="s">
        <v>632</v>
      </c>
      <c r="B15" s="171">
        <v>112900</v>
      </c>
      <c r="C15" s="171">
        <v>112900</v>
      </c>
      <c r="D15" s="172">
        <f t="shared" si="0"/>
        <v>0</v>
      </c>
    </row>
    <row r="16" spans="1:4" ht="20" customHeight="1" x14ac:dyDescent="0.35">
      <c r="A16" s="168" t="s">
        <v>633</v>
      </c>
      <c r="B16" s="171">
        <v>255000</v>
      </c>
      <c r="C16" s="171">
        <v>255000</v>
      </c>
      <c r="D16" s="172">
        <f t="shared" si="0"/>
        <v>0</v>
      </c>
    </row>
    <row r="17" spans="1:4" ht="20" customHeight="1" x14ac:dyDescent="0.35">
      <c r="A17" s="168" t="s">
        <v>634</v>
      </c>
      <c r="B17" s="171">
        <v>308500</v>
      </c>
      <c r="C17" s="171">
        <v>308500</v>
      </c>
      <c r="D17" s="172">
        <f t="shared" si="0"/>
        <v>0</v>
      </c>
    </row>
    <row r="18" spans="1:4" ht="20" customHeight="1" x14ac:dyDescent="0.35">
      <c r="A18" s="168" t="s">
        <v>635</v>
      </c>
      <c r="B18" s="171">
        <v>303000</v>
      </c>
      <c r="C18" s="171">
        <v>303000</v>
      </c>
      <c r="D18" s="172">
        <f t="shared" si="0"/>
        <v>0</v>
      </c>
    </row>
    <row r="19" spans="1:4" ht="20" customHeight="1" x14ac:dyDescent="0.35">
      <c r="A19" s="168" t="s">
        <v>636</v>
      </c>
      <c r="B19" s="171">
        <v>251250</v>
      </c>
      <c r="C19" s="171">
        <v>251250</v>
      </c>
      <c r="D19" s="172">
        <f t="shared" si="0"/>
        <v>0</v>
      </c>
    </row>
    <row r="20" spans="1:4" ht="20" customHeight="1" x14ac:dyDescent="0.35">
      <c r="A20" s="168" t="s">
        <v>637</v>
      </c>
      <c r="B20" s="171">
        <v>1055000</v>
      </c>
      <c r="C20" s="171">
        <v>1055000</v>
      </c>
      <c r="D20" s="172">
        <f t="shared" si="0"/>
        <v>0</v>
      </c>
    </row>
    <row r="21" spans="1:4" ht="20" customHeight="1" x14ac:dyDescent="0.35">
      <c r="A21" s="168" t="s">
        <v>638</v>
      </c>
      <c r="B21" s="171">
        <v>526500</v>
      </c>
      <c r="C21" s="171">
        <v>526500</v>
      </c>
      <c r="D21" s="172">
        <f t="shared" si="0"/>
        <v>0</v>
      </c>
    </row>
    <row r="22" spans="1:4" ht="20" customHeight="1" x14ac:dyDescent="0.35">
      <c r="A22" s="168" t="s">
        <v>639</v>
      </c>
      <c r="B22" s="171">
        <v>240000</v>
      </c>
      <c r="C22" s="171">
        <v>240000</v>
      </c>
      <c r="D22" s="172">
        <f t="shared" si="0"/>
        <v>0</v>
      </c>
    </row>
    <row r="23" spans="1:4" ht="20" customHeight="1" x14ac:dyDescent="0.35">
      <c r="A23" s="168" t="s">
        <v>640</v>
      </c>
      <c r="B23" s="171">
        <v>263450</v>
      </c>
      <c r="C23" s="171">
        <v>263450</v>
      </c>
      <c r="D23" s="172">
        <f t="shared" si="0"/>
        <v>0</v>
      </c>
    </row>
    <row r="24" spans="1:4" ht="20" customHeight="1" x14ac:dyDescent="0.35">
      <c r="A24" s="168" t="s">
        <v>641</v>
      </c>
      <c r="B24" s="171">
        <v>331250</v>
      </c>
      <c r="C24" s="171">
        <v>331250</v>
      </c>
      <c r="D24" s="172">
        <f t="shared" si="0"/>
        <v>0</v>
      </c>
    </row>
    <row r="25" spans="1:4" ht="20" customHeight="1" x14ac:dyDescent="0.35">
      <c r="A25" s="168" t="s">
        <v>642</v>
      </c>
      <c r="B25" s="171">
        <v>387450</v>
      </c>
      <c r="C25" s="171">
        <v>387450</v>
      </c>
      <c r="D25" s="172">
        <f t="shared" si="0"/>
        <v>0</v>
      </c>
    </row>
    <row r="26" spans="1:4" ht="20" customHeight="1" x14ac:dyDescent="0.35">
      <c r="A26" s="168" t="s">
        <v>643</v>
      </c>
      <c r="B26" s="171">
        <v>196550</v>
      </c>
      <c r="C26" s="171">
        <v>196550</v>
      </c>
      <c r="D26" s="172">
        <f t="shared" si="0"/>
        <v>0</v>
      </c>
    </row>
    <row r="27" spans="1:4" ht="20" customHeight="1" x14ac:dyDescent="0.35">
      <c r="A27" s="168" t="s">
        <v>644</v>
      </c>
      <c r="B27" s="171">
        <v>233110</v>
      </c>
      <c r="C27" s="171">
        <v>233110</v>
      </c>
      <c r="D27" s="172">
        <f t="shared" si="0"/>
        <v>0</v>
      </c>
    </row>
    <row r="28" spans="1:4" ht="20" customHeight="1" x14ac:dyDescent="0.35">
      <c r="A28" s="168" t="s">
        <v>275</v>
      </c>
      <c r="B28" s="171">
        <v>415538</v>
      </c>
      <c r="C28" s="171">
        <v>0</v>
      </c>
      <c r="D28" s="172">
        <f t="shared" si="0"/>
        <v>415538</v>
      </c>
    </row>
    <row r="29" spans="1:4" s="163" customFormat="1" ht="20" customHeight="1" x14ac:dyDescent="0.35">
      <c r="A29" s="173" t="s">
        <v>2</v>
      </c>
      <c r="B29" s="174">
        <f>SUM(B4:B28)</f>
        <v>9842043</v>
      </c>
      <c r="C29" s="174">
        <f>SUM(C4:C28)</f>
        <v>9412471.75</v>
      </c>
      <c r="D29" s="175">
        <f t="shared" si="0"/>
        <v>429571.25</v>
      </c>
    </row>
    <row r="30" spans="1:4" ht="20" customHeight="1" x14ac:dyDescent="0.35">
      <c r="A30" s="168"/>
      <c r="B30" s="171"/>
      <c r="C30" s="171"/>
      <c r="D30" s="170"/>
    </row>
    <row r="31" spans="1:4" ht="20" customHeight="1" x14ac:dyDescent="0.35">
      <c r="A31" s="168" t="s">
        <v>645</v>
      </c>
      <c r="B31" s="171">
        <v>719896</v>
      </c>
      <c r="C31" s="171">
        <v>719896</v>
      </c>
      <c r="D31" s="172">
        <f>B31-C31</f>
        <v>0</v>
      </c>
    </row>
    <row r="32" spans="1:4" ht="20" customHeight="1" x14ac:dyDescent="0.35">
      <c r="A32" s="168" t="s">
        <v>646</v>
      </c>
      <c r="B32" s="171">
        <v>373766</v>
      </c>
      <c r="C32" s="171">
        <v>298141</v>
      </c>
      <c r="D32" s="172">
        <f t="shared" ref="D32:D40" si="1">B32-C32</f>
        <v>75625</v>
      </c>
    </row>
    <row r="33" spans="1:4" ht="20" customHeight="1" x14ac:dyDescent="0.35">
      <c r="A33" s="168" t="s">
        <v>647</v>
      </c>
      <c r="B33" s="171">
        <v>218616</v>
      </c>
      <c r="C33" s="171">
        <v>303116</v>
      </c>
      <c r="D33" s="172">
        <f t="shared" si="1"/>
        <v>-84500</v>
      </c>
    </row>
    <row r="34" spans="1:4" ht="20" customHeight="1" x14ac:dyDescent="0.35">
      <c r="A34" s="168" t="s">
        <v>648</v>
      </c>
      <c r="B34" s="171">
        <v>223916</v>
      </c>
      <c r="C34" s="171">
        <v>247448.69</v>
      </c>
      <c r="D34" s="172">
        <f t="shared" si="1"/>
        <v>-23532.690000000002</v>
      </c>
    </row>
    <row r="35" spans="1:4" ht="20" customHeight="1" x14ac:dyDescent="0.35">
      <c r="A35" s="168" t="s">
        <v>649</v>
      </c>
      <c r="B35" s="171">
        <v>236366</v>
      </c>
      <c r="C35" s="171">
        <v>236366</v>
      </c>
      <c r="D35" s="172">
        <f t="shared" si="1"/>
        <v>0</v>
      </c>
    </row>
    <row r="36" spans="1:4" ht="20" customHeight="1" x14ac:dyDescent="0.35">
      <c r="A36" s="168" t="s">
        <v>650</v>
      </c>
      <c r="B36" s="171">
        <v>96300</v>
      </c>
      <c r="C36" s="171">
        <v>63892.29</v>
      </c>
      <c r="D36" s="172">
        <f t="shared" si="1"/>
        <v>32407.71</v>
      </c>
    </row>
    <row r="37" spans="1:4" ht="20" customHeight="1" x14ac:dyDescent="0.35">
      <c r="A37" s="168" t="s">
        <v>651</v>
      </c>
      <c r="B37" s="171">
        <v>1092250</v>
      </c>
      <c r="C37" s="171">
        <v>1092250</v>
      </c>
      <c r="D37" s="172">
        <f t="shared" si="1"/>
        <v>0</v>
      </c>
    </row>
    <row r="38" spans="1:4" ht="20" customHeight="1" x14ac:dyDescent="0.35">
      <c r="A38" s="168" t="s">
        <v>652</v>
      </c>
      <c r="B38" s="171">
        <v>231250</v>
      </c>
      <c r="C38" s="171">
        <v>231250</v>
      </c>
      <c r="D38" s="172">
        <f t="shared" si="1"/>
        <v>0</v>
      </c>
    </row>
    <row r="39" spans="1:4" ht="20" customHeight="1" x14ac:dyDescent="0.35">
      <c r="A39" s="168" t="s">
        <v>275</v>
      </c>
      <c r="B39" s="171">
        <v>29170</v>
      </c>
      <c r="C39" s="171">
        <v>0</v>
      </c>
      <c r="D39" s="172">
        <f t="shared" si="1"/>
        <v>29170</v>
      </c>
    </row>
    <row r="40" spans="1:4" ht="20" customHeight="1" x14ac:dyDescent="0.35">
      <c r="A40" s="168"/>
      <c r="B40" s="174">
        <f>SUM(B31:B39)</f>
        <v>3221530</v>
      </c>
      <c r="C40" s="174">
        <f>SUM(C31:C39)</f>
        <v>3192359.98</v>
      </c>
      <c r="D40" s="175">
        <f t="shared" si="1"/>
        <v>29170.020000000019</v>
      </c>
    </row>
    <row r="41" spans="1:4" ht="20" customHeight="1" x14ac:dyDescent="0.35">
      <c r="A41" s="168"/>
      <c r="B41" s="171"/>
      <c r="C41" s="171"/>
      <c r="D41" s="170"/>
    </row>
    <row r="42" spans="1:4" ht="20" customHeight="1" x14ac:dyDescent="0.35">
      <c r="A42" s="168" t="s">
        <v>653</v>
      </c>
      <c r="B42" s="171">
        <v>616327</v>
      </c>
      <c r="C42" s="171">
        <v>616327</v>
      </c>
      <c r="D42" s="172">
        <f>B42-C42</f>
        <v>0</v>
      </c>
    </row>
    <row r="43" spans="1:4" ht="20" customHeight="1" x14ac:dyDescent="0.35">
      <c r="A43" s="168" t="s">
        <v>654</v>
      </c>
      <c r="B43" s="171">
        <v>161100</v>
      </c>
      <c r="C43" s="171">
        <v>161100</v>
      </c>
      <c r="D43" s="172">
        <f t="shared" ref="D43:D47" si="2">B43-C43</f>
        <v>0</v>
      </c>
    </row>
    <row r="44" spans="1:4" ht="20" customHeight="1" x14ac:dyDescent="0.35">
      <c r="A44" s="168" t="s">
        <v>655</v>
      </c>
      <c r="B44" s="171">
        <v>35750</v>
      </c>
      <c r="C44" s="171">
        <v>35750</v>
      </c>
      <c r="D44" s="172">
        <f t="shared" si="2"/>
        <v>0</v>
      </c>
    </row>
    <row r="45" spans="1:4" ht="20" customHeight="1" x14ac:dyDescent="0.35">
      <c r="A45" s="168" t="s">
        <v>656</v>
      </c>
      <c r="B45" s="171">
        <v>1081050</v>
      </c>
      <c r="C45" s="171">
        <v>1081050</v>
      </c>
      <c r="D45" s="172">
        <f t="shared" si="2"/>
        <v>0</v>
      </c>
    </row>
    <row r="46" spans="1:4" ht="20" customHeight="1" x14ac:dyDescent="0.35">
      <c r="A46" s="168" t="s">
        <v>275</v>
      </c>
      <c r="B46" s="171">
        <v>96428</v>
      </c>
      <c r="C46" s="171">
        <v>0</v>
      </c>
      <c r="D46" s="172">
        <f t="shared" si="2"/>
        <v>96428</v>
      </c>
    </row>
    <row r="47" spans="1:4" ht="20" customHeight="1" x14ac:dyDescent="0.35">
      <c r="A47" s="168"/>
      <c r="B47" s="174">
        <f>SUM(B42:B46)</f>
        <v>1990655</v>
      </c>
      <c r="C47" s="174">
        <f>SUM(C42:C46)</f>
        <v>1894227</v>
      </c>
      <c r="D47" s="175">
        <f t="shared" si="2"/>
        <v>96428</v>
      </c>
    </row>
    <row r="48" spans="1:4" ht="20" customHeight="1" x14ac:dyDescent="0.35">
      <c r="A48" s="168"/>
      <c r="B48" s="171"/>
      <c r="C48" s="171"/>
      <c r="D48" s="170"/>
    </row>
    <row r="49" spans="1:4" ht="20" customHeight="1" x14ac:dyDescent="0.35">
      <c r="A49" s="168" t="s">
        <v>657</v>
      </c>
      <c r="B49" s="171">
        <v>278485</v>
      </c>
      <c r="C49" s="171">
        <v>399485</v>
      </c>
      <c r="D49" s="172">
        <f>B49-C49</f>
        <v>-121000</v>
      </c>
    </row>
    <row r="50" spans="1:4" ht="20" customHeight="1" x14ac:dyDescent="0.35">
      <c r="A50" s="168" t="s">
        <v>658</v>
      </c>
      <c r="B50" s="171">
        <v>341212</v>
      </c>
      <c r="C50" s="171">
        <v>287711.32</v>
      </c>
      <c r="D50" s="172">
        <f t="shared" ref="D50:D54" si="3">B50-C50</f>
        <v>53500.679999999993</v>
      </c>
    </row>
    <row r="51" spans="1:4" ht="20" customHeight="1" x14ac:dyDescent="0.35">
      <c r="A51" s="168" t="s">
        <v>659</v>
      </c>
      <c r="B51" s="171">
        <v>160911</v>
      </c>
      <c r="C51" s="171">
        <v>162264.93</v>
      </c>
      <c r="D51" s="172">
        <f t="shared" si="3"/>
        <v>-1353.929999999993</v>
      </c>
    </row>
    <row r="52" spans="1:4" ht="20" customHeight="1" x14ac:dyDescent="0.35">
      <c r="A52" s="168" t="s">
        <v>660</v>
      </c>
      <c r="B52" s="171">
        <v>133570</v>
      </c>
      <c r="C52" s="171">
        <v>78750</v>
      </c>
      <c r="D52" s="172">
        <f t="shared" si="3"/>
        <v>54820</v>
      </c>
    </row>
    <row r="53" spans="1:4" ht="20" customHeight="1" x14ac:dyDescent="0.35">
      <c r="A53" s="168" t="s">
        <v>275</v>
      </c>
      <c r="B53" s="171">
        <v>230229</v>
      </c>
      <c r="C53" s="171">
        <v>0</v>
      </c>
      <c r="D53" s="172">
        <f t="shared" si="3"/>
        <v>230229</v>
      </c>
    </row>
    <row r="54" spans="1:4" ht="20" customHeight="1" x14ac:dyDescent="0.35">
      <c r="A54" s="168"/>
      <c r="B54" s="174">
        <f>SUM(B49:B53)</f>
        <v>1144407</v>
      </c>
      <c r="C54" s="174">
        <f>SUM(C49:C53)</f>
        <v>928211.25</v>
      </c>
      <c r="D54" s="175">
        <f t="shared" si="3"/>
        <v>216195.75</v>
      </c>
    </row>
    <row r="55" spans="1:4" ht="20" customHeight="1" x14ac:dyDescent="0.35">
      <c r="A55" s="168"/>
      <c r="B55" s="171"/>
      <c r="C55" s="171"/>
      <c r="D55" s="170"/>
    </row>
    <row r="56" spans="1:4" ht="20" customHeight="1" x14ac:dyDescent="0.35">
      <c r="A56" s="168" t="s">
        <v>661</v>
      </c>
      <c r="B56" s="171">
        <v>1169400</v>
      </c>
      <c r="C56" s="171">
        <v>1169400</v>
      </c>
      <c r="D56" s="172">
        <f>B56-C56</f>
        <v>0</v>
      </c>
    </row>
    <row r="57" spans="1:4" ht="20" customHeight="1" x14ac:dyDescent="0.35">
      <c r="A57" s="168" t="s">
        <v>662</v>
      </c>
      <c r="B57" s="171">
        <v>648000</v>
      </c>
      <c r="C57" s="171">
        <v>648000</v>
      </c>
      <c r="D57" s="172">
        <f t="shared" ref="D57:D59" si="4">B57-C57</f>
        <v>0</v>
      </c>
    </row>
    <row r="58" spans="1:4" ht="20" customHeight="1" x14ac:dyDescent="0.35">
      <c r="A58" s="168" t="s">
        <v>275</v>
      </c>
      <c r="B58" s="171">
        <v>90870</v>
      </c>
      <c r="C58" s="171">
        <v>0</v>
      </c>
      <c r="D58" s="172">
        <f t="shared" si="4"/>
        <v>90870</v>
      </c>
    </row>
    <row r="59" spans="1:4" ht="20" customHeight="1" x14ac:dyDescent="0.35">
      <c r="A59" s="168"/>
      <c r="B59" s="176">
        <f>SUM(B56:B58)</f>
        <v>1908270</v>
      </c>
      <c r="C59" s="176">
        <f>SUM(C56:C58)</f>
        <v>1817400</v>
      </c>
      <c r="D59" s="175">
        <f t="shared" si="4"/>
        <v>90870</v>
      </c>
    </row>
    <row r="60" spans="1:4" ht="20" customHeight="1" x14ac:dyDescent="0.35">
      <c r="A60" s="168"/>
      <c r="B60" s="169"/>
      <c r="C60" s="169"/>
      <c r="D60" s="170"/>
    </row>
    <row r="61" spans="1:4" ht="20" customHeight="1" x14ac:dyDescent="0.35">
      <c r="A61" s="168" t="s">
        <v>533</v>
      </c>
      <c r="B61" s="177">
        <f>B29+B40+B47+B54+B59</f>
        <v>18106905</v>
      </c>
      <c r="C61" s="177">
        <f>C29+C40+C47+C54+C59</f>
        <v>17244669.98</v>
      </c>
      <c r="D61" s="177">
        <f>D29+D40+D47+D54+D59</f>
        <v>862235.02</v>
      </c>
    </row>
    <row r="62" spans="1:4" ht="20" customHeight="1" x14ac:dyDescent="0.35"/>
    <row r="63" spans="1:4" ht="20" customHeight="1" x14ac:dyDescent="0.35">
      <c r="A63" s="298" t="s">
        <v>664</v>
      </c>
      <c r="B63" s="299"/>
      <c r="C63" s="299"/>
      <c r="D63" s="299"/>
    </row>
    <row r="64" spans="1:4" ht="20" customHeight="1" x14ac:dyDescent="0.35">
      <c r="A64" s="299"/>
      <c r="B64" s="299"/>
      <c r="C64" s="299"/>
      <c r="D64" s="299"/>
    </row>
    <row r="65" ht="20" customHeight="1" x14ac:dyDescent="0.35"/>
    <row r="66" ht="20" customHeight="1" x14ac:dyDescent="0.35"/>
    <row r="67" ht="20" customHeight="1" x14ac:dyDescent="0.35"/>
    <row r="68" ht="20" customHeight="1" x14ac:dyDescent="0.35"/>
    <row r="69" ht="20" customHeight="1" x14ac:dyDescent="0.35"/>
    <row r="70" ht="20" customHeight="1" x14ac:dyDescent="0.35"/>
    <row r="71" ht="20" customHeight="1" x14ac:dyDescent="0.35"/>
    <row r="72" ht="20" customHeight="1" x14ac:dyDescent="0.35"/>
    <row r="73" ht="20" customHeight="1" x14ac:dyDescent="0.35"/>
    <row r="74" ht="20" customHeight="1" x14ac:dyDescent="0.35"/>
    <row r="75" ht="20" customHeight="1" x14ac:dyDescent="0.35"/>
    <row r="76" ht="20" customHeight="1" x14ac:dyDescent="0.35"/>
    <row r="77" ht="20" customHeight="1" x14ac:dyDescent="0.35"/>
    <row r="78" ht="20" customHeight="1" x14ac:dyDescent="0.35"/>
    <row r="79" ht="20" customHeight="1" x14ac:dyDescent="0.35"/>
    <row r="80" ht="20" customHeight="1" x14ac:dyDescent="0.35"/>
    <row r="81" ht="20" customHeight="1" x14ac:dyDescent="0.35"/>
    <row r="82" ht="20" customHeight="1" x14ac:dyDescent="0.35"/>
    <row r="83" ht="20" customHeight="1" x14ac:dyDescent="0.35"/>
    <row r="84" ht="20" customHeight="1" x14ac:dyDescent="0.35"/>
    <row r="85" ht="20" customHeight="1" x14ac:dyDescent="0.35"/>
    <row r="86" ht="20" customHeight="1" x14ac:dyDescent="0.35"/>
    <row r="87" ht="20" customHeight="1" x14ac:dyDescent="0.35"/>
    <row r="88" ht="20" customHeight="1" x14ac:dyDescent="0.35"/>
    <row r="89" ht="20" customHeight="1" x14ac:dyDescent="0.35"/>
    <row r="90" ht="20" customHeight="1" x14ac:dyDescent="0.35"/>
    <row r="91" ht="20" customHeight="1" x14ac:dyDescent="0.35"/>
    <row r="92" ht="20" customHeight="1" x14ac:dyDescent="0.35"/>
    <row r="93" ht="20" customHeight="1" x14ac:dyDescent="0.35"/>
    <row r="94" ht="20" customHeight="1" x14ac:dyDescent="0.35"/>
    <row r="95" ht="20" customHeight="1" x14ac:dyDescent="0.35"/>
    <row r="96" ht="20" customHeight="1" x14ac:dyDescent="0.35"/>
    <row r="97" ht="20" customHeight="1" x14ac:dyDescent="0.35"/>
    <row r="98" ht="20" customHeight="1" x14ac:dyDescent="0.35"/>
    <row r="99" ht="20" customHeight="1" x14ac:dyDescent="0.35"/>
  </sheetData>
  <mergeCells count="1">
    <mergeCell ref="A63:D6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469D1-D94A-497F-80AC-BD9F0F54C9D4}">
  <dimension ref="A1:C430"/>
  <sheetViews>
    <sheetView topLeftCell="A110" workbookViewId="0">
      <selection activeCell="C253" sqref="C253"/>
    </sheetView>
  </sheetViews>
  <sheetFormatPr defaultColWidth="8.81640625" defaultRowHeight="14.5" x14ac:dyDescent="0.35"/>
  <cols>
    <col min="1" max="1" width="10.81640625" customWidth="1"/>
    <col min="2" max="2" width="16.453125" style="104" customWidth="1"/>
    <col min="3" max="3" width="109.81640625" style="216" customWidth="1"/>
    <col min="4" max="16384" width="8.81640625" style="195"/>
  </cols>
  <sheetData>
    <row r="1" spans="1:3" ht="34.25" customHeight="1" x14ac:dyDescent="0.3">
      <c r="A1" s="193" t="s">
        <v>8</v>
      </c>
      <c r="B1" s="194" t="s">
        <v>3</v>
      </c>
      <c r="C1" s="194" t="s">
        <v>666</v>
      </c>
    </row>
    <row r="2" spans="1:3" s="198" customFormat="1" ht="18" customHeight="1" x14ac:dyDescent="0.35">
      <c r="A2" s="34" t="s">
        <v>30</v>
      </c>
      <c r="B2" s="196" t="s">
        <v>667</v>
      </c>
      <c r="C2" s="197" t="s">
        <v>668</v>
      </c>
    </row>
    <row r="3" spans="1:3" s="198" customFormat="1" ht="18" customHeight="1" x14ac:dyDescent="0.35">
      <c r="A3" s="34" t="s">
        <v>32</v>
      </c>
      <c r="B3" s="196" t="s">
        <v>667</v>
      </c>
      <c r="C3" s="197" t="s">
        <v>669</v>
      </c>
    </row>
    <row r="4" spans="1:3" s="198" customFormat="1" ht="18" customHeight="1" x14ac:dyDescent="0.35">
      <c r="A4" s="34" t="s">
        <v>35</v>
      </c>
      <c r="B4" s="196" t="s">
        <v>667</v>
      </c>
      <c r="C4" s="197" t="s">
        <v>670</v>
      </c>
    </row>
    <row r="5" spans="1:3" s="198" customFormat="1" ht="18" customHeight="1" x14ac:dyDescent="0.35">
      <c r="A5" s="34" t="s">
        <v>38</v>
      </c>
      <c r="B5" s="196" t="s">
        <v>667</v>
      </c>
      <c r="C5" s="197" t="s">
        <v>671</v>
      </c>
    </row>
    <row r="6" spans="1:3" s="198" customFormat="1" ht="18" customHeight="1" x14ac:dyDescent="0.35">
      <c r="A6" s="34" t="s">
        <v>41</v>
      </c>
      <c r="B6" s="196" t="s">
        <v>667</v>
      </c>
      <c r="C6" s="199" t="s">
        <v>672</v>
      </c>
    </row>
    <row r="7" spans="1:3" s="198" customFormat="1" ht="18" customHeight="1" x14ac:dyDescent="0.35">
      <c r="A7" s="34" t="s">
        <v>45</v>
      </c>
      <c r="B7" s="196" t="s">
        <v>667</v>
      </c>
      <c r="C7" s="197" t="s">
        <v>673</v>
      </c>
    </row>
    <row r="8" spans="1:3" s="198" customFormat="1" ht="18" customHeight="1" x14ac:dyDescent="0.35">
      <c r="A8" s="34" t="s">
        <v>47</v>
      </c>
      <c r="B8" s="196" t="s">
        <v>667</v>
      </c>
      <c r="C8" s="197" t="s">
        <v>674</v>
      </c>
    </row>
    <row r="9" spans="1:3" s="198" customFormat="1" ht="18" customHeight="1" x14ac:dyDescent="0.35">
      <c r="A9" s="34" t="s">
        <v>48</v>
      </c>
      <c r="B9" s="196" t="s">
        <v>667</v>
      </c>
      <c r="C9" s="197" t="s">
        <v>675</v>
      </c>
    </row>
    <row r="10" spans="1:3" s="198" customFormat="1" ht="18" customHeight="1" x14ac:dyDescent="0.35">
      <c r="A10" s="34" t="s">
        <v>49</v>
      </c>
      <c r="B10" s="196" t="s">
        <v>667</v>
      </c>
      <c r="C10" s="197" t="s">
        <v>676</v>
      </c>
    </row>
    <row r="11" spans="1:3" s="198" customFormat="1" ht="18" customHeight="1" x14ac:dyDescent="0.35">
      <c r="A11" s="34" t="s">
        <v>50</v>
      </c>
      <c r="B11" s="196" t="s">
        <v>667</v>
      </c>
      <c r="C11" s="197" t="s">
        <v>677</v>
      </c>
    </row>
    <row r="12" spans="1:3" s="198" customFormat="1" ht="23" customHeight="1" x14ac:dyDescent="0.35">
      <c r="A12" s="34" t="s">
        <v>51</v>
      </c>
      <c r="B12" s="196" t="s">
        <v>667</v>
      </c>
      <c r="C12" s="197" t="s">
        <v>678</v>
      </c>
    </row>
    <row r="13" spans="1:3" s="198" customFormat="1" ht="18" customHeight="1" x14ac:dyDescent="0.35">
      <c r="A13" s="34" t="s">
        <v>52</v>
      </c>
      <c r="B13" s="196" t="s">
        <v>667</v>
      </c>
      <c r="C13" s="197" t="s">
        <v>679</v>
      </c>
    </row>
    <row r="14" spans="1:3" s="198" customFormat="1" ht="24" customHeight="1" x14ac:dyDescent="0.35">
      <c r="A14" s="34" t="s">
        <v>54</v>
      </c>
      <c r="B14" s="196" t="s">
        <v>667</v>
      </c>
      <c r="C14" s="200" t="s">
        <v>680</v>
      </c>
    </row>
    <row r="15" spans="1:3" s="198" customFormat="1" ht="18" customHeight="1" x14ac:dyDescent="0.35">
      <c r="A15" s="34" t="s">
        <v>56</v>
      </c>
      <c r="B15" s="196" t="s">
        <v>667</v>
      </c>
      <c r="C15" s="197" t="s">
        <v>681</v>
      </c>
    </row>
    <row r="16" spans="1:3" s="198" customFormat="1" ht="18" customHeight="1" x14ac:dyDescent="0.35">
      <c r="A16" s="34" t="s">
        <v>59</v>
      </c>
      <c r="B16" s="196" t="s">
        <v>667</v>
      </c>
      <c r="C16" s="197" t="s">
        <v>682</v>
      </c>
    </row>
    <row r="17" spans="1:3" s="198" customFormat="1" ht="18" customHeight="1" x14ac:dyDescent="0.35">
      <c r="A17" s="34" t="s">
        <v>60</v>
      </c>
      <c r="B17" s="196" t="s">
        <v>667</v>
      </c>
      <c r="C17" s="197" t="s">
        <v>683</v>
      </c>
    </row>
    <row r="18" spans="1:3" s="198" customFormat="1" ht="18" customHeight="1" x14ac:dyDescent="0.35">
      <c r="A18" s="34" t="s">
        <v>63</v>
      </c>
      <c r="B18" s="196" t="s">
        <v>667</v>
      </c>
      <c r="C18" s="197" t="s">
        <v>684</v>
      </c>
    </row>
    <row r="19" spans="1:3" s="198" customFormat="1" ht="18" customHeight="1" x14ac:dyDescent="0.35">
      <c r="A19" s="34" t="s">
        <v>65</v>
      </c>
      <c r="B19" s="196" t="s">
        <v>667</v>
      </c>
      <c r="C19" s="197" t="s">
        <v>685</v>
      </c>
    </row>
    <row r="20" spans="1:3" s="198" customFormat="1" ht="18" customHeight="1" x14ac:dyDescent="0.35">
      <c r="A20" s="34" t="s">
        <v>67</v>
      </c>
      <c r="B20" s="196" t="s">
        <v>667</v>
      </c>
      <c r="C20" s="197" t="s">
        <v>686</v>
      </c>
    </row>
    <row r="21" spans="1:3" s="198" customFormat="1" ht="18" customHeight="1" x14ac:dyDescent="0.35">
      <c r="A21" s="34" t="s">
        <v>68</v>
      </c>
      <c r="B21" s="196" t="s">
        <v>667</v>
      </c>
      <c r="C21" s="197" t="s">
        <v>687</v>
      </c>
    </row>
    <row r="22" spans="1:3" s="198" customFormat="1" ht="18" customHeight="1" x14ac:dyDescent="0.35">
      <c r="A22" s="34" t="s">
        <v>70</v>
      </c>
      <c r="B22" s="196" t="s">
        <v>667</v>
      </c>
      <c r="C22" s="197" t="s">
        <v>688</v>
      </c>
    </row>
    <row r="23" spans="1:3" s="198" customFormat="1" ht="18" customHeight="1" x14ac:dyDescent="0.35">
      <c r="A23" s="34" t="s">
        <v>72</v>
      </c>
      <c r="B23" s="196" t="s">
        <v>667</v>
      </c>
      <c r="C23" s="197" t="s">
        <v>689</v>
      </c>
    </row>
    <row r="24" spans="1:3" s="198" customFormat="1" ht="18" customHeight="1" x14ac:dyDescent="0.35">
      <c r="A24" s="34" t="s">
        <v>74</v>
      </c>
      <c r="B24" s="196" t="s">
        <v>667</v>
      </c>
      <c r="C24" s="197" t="s">
        <v>690</v>
      </c>
    </row>
    <row r="25" spans="1:3" s="198" customFormat="1" ht="18" customHeight="1" x14ac:dyDescent="0.35">
      <c r="A25" s="34" t="s">
        <v>76</v>
      </c>
      <c r="B25" s="196" t="s">
        <v>667</v>
      </c>
      <c r="C25" s="201" t="s">
        <v>691</v>
      </c>
    </row>
    <row r="26" spans="1:3" s="198" customFormat="1" ht="18" customHeight="1" x14ac:dyDescent="0.35">
      <c r="A26" s="34" t="s">
        <v>77</v>
      </c>
      <c r="B26" s="196" t="s">
        <v>667</v>
      </c>
      <c r="C26" s="201" t="s">
        <v>692</v>
      </c>
    </row>
    <row r="27" spans="1:3" s="198" customFormat="1" ht="18" customHeight="1" x14ac:dyDescent="0.35">
      <c r="A27" s="34" t="s">
        <v>78</v>
      </c>
      <c r="B27" s="196" t="s">
        <v>667</v>
      </c>
      <c r="C27" s="202" t="s">
        <v>693</v>
      </c>
    </row>
    <row r="28" spans="1:3" s="198" customFormat="1" ht="18" customHeight="1" x14ac:dyDescent="0.35">
      <c r="A28" s="34" t="s">
        <v>79</v>
      </c>
      <c r="B28" s="196" t="s">
        <v>667</v>
      </c>
      <c r="C28" s="201" t="s">
        <v>694</v>
      </c>
    </row>
    <row r="29" spans="1:3" s="204" customFormat="1" ht="18" customHeight="1" x14ac:dyDescent="0.35">
      <c r="A29" s="34" t="s">
        <v>81</v>
      </c>
      <c r="B29" s="203" t="s">
        <v>695</v>
      </c>
      <c r="C29" s="201" t="s">
        <v>696</v>
      </c>
    </row>
    <row r="30" spans="1:3" s="204" customFormat="1" ht="18" customHeight="1" x14ac:dyDescent="0.35">
      <c r="A30" s="34" t="s">
        <v>82</v>
      </c>
      <c r="B30" s="203" t="s">
        <v>695</v>
      </c>
      <c r="C30" s="197" t="s">
        <v>697</v>
      </c>
    </row>
    <row r="31" spans="1:3" s="204" customFormat="1" ht="18" customHeight="1" x14ac:dyDescent="0.35">
      <c r="A31" s="34" t="s">
        <v>83</v>
      </c>
      <c r="B31" s="203" t="s">
        <v>695</v>
      </c>
      <c r="C31" s="197" t="s">
        <v>698</v>
      </c>
    </row>
    <row r="32" spans="1:3" s="204" customFormat="1" ht="18" customHeight="1" x14ac:dyDescent="0.35">
      <c r="A32" s="34" t="s">
        <v>84</v>
      </c>
      <c r="B32" s="203" t="s">
        <v>695</v>
      </c>
      <c r="C32" s="197" t="s">
        <v>699</v>
      </c>
    </row>
    <row r="33" spans="1:3" s="204" customFormat="1" ht="18" customHeight="1" x14ac:dyDescent="0.35">
      <c r="A33" s="34" t="s">
        <v>85</v>
      </c>
      <c r="B33" s="203" t="s">
        <v>695</v>
      </c>
      <c r="C33" s="197" t="s">
        <v>700</v>
      </c>
    </row>
    <row r="34" spans="1:3" s="204" customFormat="1" ht="27" customHeight="1" x14ac:dyDescent="0.35">
      <c r="A34" s="34" t="s">
        <v>87</v>
      </c>
      <c r="B34" s="203" t="s">
        <v>695</v>
      </c>
      <c r="C34" s="201" t="s">
        <v>701</v>
      </c>
    </row>
    <row r="35" spans="1:3" s="204" customFormat="1" ht="34" customHeight="1" x14ac:dyDescent="0.35">
      <c r="A35" s="34" t="s">
        <v>88</v>
      </c>
      <c r="B35" s="203" t="s">
        <v>695</v>
      </c>
      <c r="C35" s="201" t="s">
        <v>702</v>
      </c>
    </row>
    <row r="36" spans="1:3" s="204" customFormat="1" ht="18" customHeight="1" x14ac:dyDescent="0.35">
      <c r="A36" s="34" t="s">
        <v>89</v>
      </c>
      <c r="B36" s="203" t="s">
        <v>695</v>
      </c>
      <c r="C36" s="197" t="s">
        <v>703</v>
      </c>
    </row>
    <row r="37" spans="1:3" s="204" customFormat="1" ht="18" customHeight="1" x14ac:dyDescent="0.35">
      <c r="A37" s="34" t="s">
        <v>90</v>
      </c>
      <c r="B37" s="203" t="s">
        <v>695</v>
      </c>
      <c r="C37" s="197" t="s">
        <v>704</v>
      </c>
    </row>
    <row r="38" spans="1:3" s="204" customFormat="1" ht="18" customHeight="1" x14ac:dyDescent="0.35">
      <c r="A38" s="34" t="s">
        <v>91</v>
      </c>
      <c r="B38" s="203" t="s">
        <v>695</v>
      </c>
      <c r="C38" s="197" t="s">
        <v>705</v>
      </c>
    </row>
    <row r="39" spans="1:3" s="204" customFormat="1" ht="18" customHeight="1" x14ac:dyDescent="0.35">
      <c r="A39" s="34" t="s">
        <v>92</v>
      </c>
      <c r="B39" s="203" t="s">
        <v>695</v>
      </c>
      <c r="C39" s="197" t="s">
        <v>706</v>
      </c>
    </row>
    <row r="40" spans="1:3" s="204" customFormat="1" ht="18" customHeight="1" x14ac:dyDescent="0.35">
      <c r="A40" s="34" t="s">
        <v>93</v>
      </c>
      <c r="B40" s="203" t="s">
        <v>695</v>
      </c>
      <c r="C40" s="197" t="s">
        <v>707</v>
      </c>
    </row>
    <row r="41" spans="1:3" s="204" customFormat="1" ht="18" customHeight="1" x14ac:dyDescent="0.35">
      <c r="A41" s="34" t="s">
        <v>94</v>
      </c>
      <c r="B41" s="203" t="s">
        <v>695</v>
      </c>
      <c r="C41" s="197" t="s">
        <v>708</v>
      </c>
    </row>
    <row r="42" spans="1:3" s="204" customFormat="1" ht="18" customHeight="1" x14ac:dyDescent="0.35">
      <c r="A42" s="34" t="s">
        <v>96</v>
      </c>
      <c r="B42" s="203" t="s">
        <v>695</v>
      </c>
      <c r="C42" s="197" t="s">
        <v>709</v>
      </c>
    </row>
    <row r="43" spans="1:3" s="204" customFormat="1" ht="18" customHeight="1" x14ac:dyDescent="0.35">
      <c r="A43" s="34" t="s">
        <v>97</v>
      </c>
      <c r="B43" s="203" t="s">
        <v>695</v>
      </c>
      <c r="C43" s="197" t="s">
        <v>710</v>
      </c>
    </row>
    <row r="44" spans="1:3" s="204" customFormat="1" ht="18" customHeight="1" x14ac:dyDescent="0.35">
      <c r="A44" s="34" t="s">
        <v>98</v>
      </c>
      <c r="B44" s="203" t="s">
        <v>695</v>
      </c>
      <c r="C44" s="197" t="s">
        <v>711</v>
      </c>
    </row>
    <row r="45" spans="1:3" s="204" customFormat="1" ht="18" customHeight="1" x14ac:dyDescent="0.35">
      <c r="A45" s="34" t="s">
        <v>99</v>
      </c>
      <c r="B45" s="203" t="s">
        <v>695</v>
      </c>
      <c r="C45" s="197" t="s">
        <v>712</v>
      </c>
    </row>
    <row r="46" spans="1:3" s="204" customFormat="1" ht="18" customHeight="1" x14ac:dyDescent="0.35">
      <c r="A46" s="34" t="s">
        <v>100</v>
      </c>
      <c r="B46" s="203" t="s">
        <v>695</v>
      </c>
      <c r="C46" s="197" t="s">
        <v>713</v>
      </c>
    </row>
    <row r="47" spans="1:3" s="204" customFormat="1" ht="18" customHeight="1" x14ac:dyDescent="0.35">
      <c r="A47" s="34" t="s">
        <v>101</v>
      </c>
      <c r="B47" s="203" t="s">
        <v>695</v>
      </c>
      <c r="C47" s="197" t="s">
        <v>714</v>
      </c>
    </row>
    <row r="48" spans="1:3" s="204" customFormat="1" ht="18" customHeight="1" x14ac:dyDescent="0.35">
      <c r="A48" s="34" t="s">
        <v>102</v>
      </c>
      <c r="B48" s="203" t="s">
        <v>695</v>
      </c>
      <c r="C48" s="197" t="s">
        <v>715</v>
      </c>
    </row>
    <row r="49" spans="1:3" s="204" customFormat="1" ht="18" customHeight="1" x14ac:dyDescent="0.35">
      <c r="A49" s="34" t="s">
        <v>105</v>
      </c>
      <c r="B49" s="203" t="s">
        <v>695</v>
      </c>
      <c r="C49" s="205" t="s">
        <v>716</v>
      </c>
    </row>
    <row r="50" spans="1:3" s="204" customFormat="1" ht="18" customHeight="1" x14ac:dyDescent="0.35">
      <c r="A50" s="34" t="s">
        <v>106</v>
      </c>
      <c r="B50" s="203" t="s">
        <v>695</v>
      </c>
      <c r="C50" s="205" t="s">
        <v>717</v>
      </c>
    </row>
    <row r="51" spans="1:3" s="204" customFormat="1" ht="18" customHeight="1" x14ac:dyDescent="0.35">
      <c r="A51" s="34" t="s">
        <v>107</v>
      </c>
      <c r="B51" s="203" t="s">
        <v>695</v>
      </c>
      <c r="C51" s="205" t="s">
        <v>718</v>
      </c>
    </row>
    <row r="52" spans="1:3" s="204" customFormat="1" ht="18" customHeight="1" x14ac:dyDescent="0.35">
      <c r="A52" s="34" t="s">
        <v>108</v>
      </c>
      <c r="B52" s="203" t="s">
        <v>695</v>
      </c>
      <c r="C52" s="205" t="s">
        <v>719</v>
      </c>
    </row>
    <row r="53" spans="1:3" s="204" customFormat="1" ht="18" customHeight="1" x14ac:dyDescent="0.35">
      <c r="A53" s="34" t="s">
        <v>109</v>
      </c>
      <c r="B53" s="203" t="s">
        <v>695</v>
      </c>
      <c r="C53" s="205" t="s">
        <v>720</v>
      </c>
    </row>
    <row r="54" spans="1:3" s="204" customFormat="1" ht="18" customHeight="1" x14ac:dyDescent="0.35">
      <c r="A54" s="34" t="s">
        <v>110</v>
      </c>
      <c r="B54" s="203" t="s">
        <v>695</v>
      </c>
      <c r="C54" s="205" t="s">
        <v>721</v>
      </c>
    </row>
    <row r="55" spans="1:3" s="204" customFormat="1" ht="18" customHeight="1" x14ac:dyDescent="0.35">
      <c r="A55" s="34" t="s">
        <v>111</v>
      </c>
      <c r="B55" s="203" t="s">
        <v>695</v>
      </c>
      <c r="C55" s="197" t="s">
        <v>722</v>
      </c>
    </row>
    <row r="56" spans="1:3" s="204" customFormat="1" ht="18" customHeight="1" x14ac:dyDescent="0.35">
      <c r="A56" s="34" t="s">
        <v>114</v>
      </c>
      <c r="B56" s="206" t="s">
        <v>723</v>
      </c>
      <c r="C56" s="197" t="s">
        <v>724</v>
      </c>
    </row>
    <row r="57" spans="1:3" s="204" customFormat="1" ht="18" customHeight="1" x14ac:dyDescent="0.35">
      <c r="A57" s="34" t="s">
        <v>115</v>
      </c>
      <c r="B57" s="206" t="s">
        <v>723</v>
      </c>
      <c r="C57" s="197" t="s">
        <v>725</v>
      </c>
    </row>
    <row r="58" spans="1:3" s="204" customFormat="1" ht="18" customHeight="1" x14ac:dyDescent="0.35">
      <c r="A58" s="34" t="s">
        <v>116</v>
      </c>
      <c r="B58" s="206" t="s">
        <v>723</v>
      </c>
      <c r="C58" s="197" t="s">
        <v>726</v>
      </c>
    </row>
    <row r="59" spans="1:3" s="204" customFormat="1" ht="18" customHeight="1" x14ac:dyDescent="0.35">
      <c r="A59" s="34" t="s">
        <v>117</v>
      </c>
      <c r="B59" s="206" t="s">
        <v>723</v>
      </c>
      <c r="C59" s="197" t="s">
        <v>727</v>
      </c>
    </row>
    <row r="60" spans="1:3" s="204" customFormat="1" ht="18" customHeight="1" x14ac:dyDescent="0.35">
      <c r="A60" s="34" t="s">
        <v>119</v>
      </c>
      <c r="B60" s="206" t="s">
        <v>723</v>
      </c>
      <c r="C60" s="197" t="s">
        <v>728</v>
      </c>
    </row>
    <row r="61" spans="1:3" s="204" customFormat="1" ht="18" customHeight="1" x14ac:dyDescent="0.35">
      <c r="A61" s="136" t="s">
        <v>121</v>
      </c>
      <c r="B61" s="207" t="s">
        <v>723</v>
      </c>
      <c r="C61" s="208" t="s">
        <v>729</v>
      </c>
    </row>
    <row r="62" spans="1:3" s="204" customFormat="1" ht="21" customHeight="1" x14ac:dyDescent="0.35">
      <c r="A62" s="34" t="s">
        <v>122</v>
      </c>
      <c r="B62" s="206" t="s">
        <v>723</v>
      </c>
      <c r="C62" s="197" t="s">
        <v>730</v>
      </c>
    </row>
    <row r="63" spans="1:3" s="204" customFormat="1" ht="18" customHeight="1" x14ac:dyDescent="0.35">
      <c r="A63" s="34" t="s">
        <v>124</v>
      </c>
      <c r="B63" s="206" t="s">
        <v>723</v>
      </c>
      <c r="C63" s="197" t="s">
        <v>731</v>
      </c>
    </row>
    <row r="64" spans="1:3" s="204" customFormat="1" ht="22" customHeight="1" x14ac:dyDescent="0.35">
      <c r="A64" s="34" t="s">
        <v>125</v>
      </c>
      <c r="B64" s="206" t="s">
        <v>723</v>
      </c>
      <c r="C64" s="197" t="s">
        <v>732</v>
      </c>
    </row>
    <row r="65" spans="1:3" s="204" customFormat="1" ht="26" customHeight="1" x14ac:dyDescent="0.35">
      <c r="A65" s="34" t="s">
        <v>126</v>
      </c>
      <c r="B65" s="206" t="s">
        <v>723</v>
      </c>
      <c r="C65" s="201" t="s">
        <v>733</v>
      </c>
    </row>
    <row r="66" spans="1:3" s="204" customFormat="1" ht="18" customHeight="1" x14ac:dyDescent="0.35">
      <c r="A66" s="34" t="s">
        <v>128</v>
      </c>
      <c r="B66" s="206" t="s">
        <v>723</v>
      </c>
      <c r="C66" s="197" t="s">
        <v>734</v>
      </c>
    </row>
    <row r="67" spans="1:3" s="204" customFormat="1" ht="18" customHeight="1" x14ac:dyDescent="0.35">
      <c r="A67" s="34" t="s">
        <v>129</v>
      </c>
      <c r="B67" s="206" t="s">
        <v>723</v>
      </c>
      <c r="C67" s="197" t="s">
        <v>735</v>
      </c>
    </row>
    <row r="68" spans="1:3" s="204" customFormat="1" ht="18" customHeight="1" x14ac:dyDescent="0.35">
      <c r="A68" s="34" t="s">
        <v>131</v>
      </c>
      <c r="B68" s="206" t="s">
        <v>723</v>
      </c>
      <c r="C68" s="197" t="s">
        <v>736</v>
      </c>
    </row>
    <row r="69" spans="1:3" s="204" customFormat="1" ht="18" customHeight="1" x14ac:dyDescent="0.35">
      <c r="A69" s="34" t="s">
        <v>133</v>
      </c>
      <c r="B69" s="206" t="s">
        <v>723</v>
      </c>
      <c r="C69" s="197" t="s">
        <v>737</v>
      </c>
    </row>
    <row r="70" spans="1:3" s="204" customFormat="1" ht="18" customHeight="1" x14ac:dyDescent="0.35">
      <c r="A70" s="34" t="s">
        <v>135</v>
      </c>
      <c r="B70" s="206" t="s">
        <v>723</v>
      </c>
      <c r="C70" s="197" t="s">
        <v>738</v>
      </c>
    </row>
    <row r="71" spans="1:3" s="204" customFormat="1" ht="18" customHeight="1" x14ac:dyDescent="0.35">
      <c r="A71" s="34" t="s">
        <v>136</v>
      </c>
      <c r="B71" s="206" t="s">
        <v>723</v>
      </c>
      <c r="C71" s="197" t="s">
        <v>739</v>
      </c>
    </row>
    <row r="72" spans="1:3" s="204" customFormat="1" ht="24" customHeight="1" x14ac:dyDescent="0.35">
      <c r="A72" s="34" t="s">
        <v>137</v>
      </c>
      <c r="B72" s="206" t="s">
        <v>723</v>
      </c>
      <c r="C72" s="197" t="s">
        <v>740</v>
      </c>
    </row>
    <row r="73" spans="1:3" s="204" customFormat="1" ht="18" customHeight="1" x14ac:dyDescent="0.35">
      <c r="A73" s="34" t="s">
        <v>138</v>
      </c>
      <c r="B73" s="206" t="s">
        <v>723</v>
      </c>
      <c r="C73" s="197" t="s">
        <v>741</v>
      </c>
    </row>
    <row r="74" spans="1:3" s="204" customFormat="1" ht="18" customHeight="1" x14ac:dyDescent="0.35">
      <c r="A74" s="34" t="s">
        <v>139</v>
      </c>
      <c r="B74" s="206" t="s">
        <v>723</v>
      </c>
      <c r="C74" s="197" t="s">
        <v>742</v>
      </c>
    </row>
    <row r="75" spans="1:3" s="204" customFormat="1" ht="18" customHeight="1" x14ac:dyDescent="0.35">
      <c r="A75" s="34" t="s">
        <v>140</v>
      </c>
      <c r="B75" s="206" t="s">
        <v>723</v>
      </c>
      <c r="C75" s="197" t="s">
        <v>743</v>
      </c>
    </row>
    <row r="76" spans="1:3" s="204" customFormat="1" ht="18" customHeight="1" x14ac:dyDescent="0.35">
      <c r="A76" s="34" t="s">
        <v>141</v>
      </c>
      <c r="B76" s="206" t="s">
        <v>723</v>
      </c>
      <c r="C76" s="197" t="s">
        <v>744</v>
      </c>
    </row>
    <row r="77" spans="1:3" s="204" customFormat="1" ht="18" customHeight="1" x14ac:dyDescent="0.35">
      <c r="A77" s="34" t="s">
        <v>142</v>
      </c>
      <c r="B77" s="206" t="s">
        <v>723</v>
      </c>
      <c r="C77" s="197" t="s">
        <v>745</v>
      </c>
    </row>
    <row r="78" spans="1:3" s="204" customFormat="1" ht="18" customHeight="1" x14ac:dyDescent="0.35">
      <c r="A78" s="34" t="s">
        <v>143</v>
      </c>
      <c r="B78" s="206" t="s">
        <v>723</v>
      </c>
      <c r="C78" s="197" t="s">
        <v>746</v>
      </c>
    </row>
    <row r="79" spans="1:3" s="204" customFormat="1" ht="18" customHeight="1" x14ac:dyDescent="0.35">
      <c r="A79" s="34" t="s">
        <v>144</v>
      </c>
      <c r="B79" s="206" t="s">
        <v>723</v>
      </c>
      <c r="C79" s="197" t="s">
        <v>747</v>
      </c>
    </row>
    <row r="80" spans="1:3" s="204" customFormat="1" ht="18" customHeight="1" x14ac:dyDescent="0.35">
      <c r="A80" s="34" t="s">
        <v>146</v>
      </c>
      <c r="B80" s="206" t="s">
        <v>723</v>
      </c>
      <c r="C80" s="197" t="s">
        <v>748</v>
      </c>
    </row>
    <row r="81" spans="1:3" s="204" customFormat="1" ht="18" customHeight="1" x14ac:dyDescent="0.35">
      <c r="A81" s="34" t="s">
        <v>147</v>
      </c>
      <c r="B81" s="206" t="s">
        <v>723</v>
      </c>
      <c r="C81" s="201" t="s">
        <v>749</v>
      </c>
    </row>
    <row r="82" spans="1:3" s="204" customFormat="1" ht="22" customHeight="1" x14ac:dyDescent="0.35">
      <c r="A82" s="34" t="s">
        <v>149</v>
      </c>
      <c r="B82" s="206" t="s">
        <v>723</v>
      </c>
      <c r="C82" s="201" t="s">
        <v>750</v>
      </c>
    </row>
    <row r="83" spans="1:3" s="204" customFormat="1" ht="22" customHeight="1" x14ac:dyDescent="0.35">
      <c r="A83" s="34" t="s">
        <v>150</v>
      </c>
      <c r="B83" s="206" t="s">
        <v>723</v>
      </c>
      <c r="C83" s="197" t="s">
        <v>751</v>
      </c>
    </row>
    <row r="84" spans="1:3" s="204" customFormat="1" ht="25" customHeight="1" x14ac:dyDescent="0.35">
      <c r="A84" s="34" t="s">
        <v>151</v>
      </c>
      <c r="B84" s="206" t="s">
        <v>723</v>
      </c>
      <c r="C84" s="201" t="s">
        <v>752</v>
      </c>
    </row>
    <row r="85" spans="1:3" s="204" customFormat="1" ht="22" customHeight="1" x14ac:dyDescent="0.35">
      <c r="A85" s="34" t="s">
        <v>152</v>
      </c>
      <c r="B85" s="206" t="s">
        <v>723</v>
      </c>
      <c r="C85" s="197" t="s">
        <v>753</v>
      </c>
    </row>
    <row r="86" spans="1:3" s="204" customFormat="1" ht="18" customHeight="1" x14ac:dyDescent="0.35">
      <c r="A86" s="34" t="s">
        <v>153</v>
      </c>
      <c r="B86" s="206" t="s">
        <v>723</v>
      </c>
      <c r="C86" s="197" t="s">
        <v>754</v>
      </c>
    </row>
    <row r="87" spans="1:3" s="204" customFormat="1" ht="18" customHeight="1" x14ac:dyDescent="0.35">
      <c r="A87" s="34" t="s">
        <v>156</v>
      </c>
      <c r="B87" s="206" t="s">
        <v>723</v>
      </c>
      <c r="C87" s="197" t="s">
        <v>755</v>
      </c>
    </row>
    <row r="88" spans="1:3" s="204" customFormat="1" ht="20" customHeight="1" x14ac:dyDescent="0.35">
      <c r="A88" s="34" t="s">
        <v>157</v>
      </c>
      <c r="B88" s="206" t="s">
        <v>723</v>
      </c>
      <c r="C88" s="197" t="s">
        <v>756</v>
      </c>
    </row>
    <row r="89" spans="1:3" s="204" customFormat="1" ht="18" customHeight="1" x14ac:dyDescent="0.35">
      <c r="A89" s="34" t="s">
        <v>158</v>
      </c>
      <c r="B89" s="206" t="s">
        <v>723</v>
      </c>
      <c r="C89" s="197" t="s">
        <v>757</v>
      </c>
    </row>
    <row r="90" spans="1:3" s="204" customFormat="1" ht="18" customHeight="1" x14ac:dyDescent="0.35">
      <c r="A90" s="34" t="s">
        <v>160</v>
      </c>
      <c r="B90" s="206" t="s">
        <v>723</v>
      </c>
      <c r="C90" s="197" t="s">
        <v>758</v>
      </c>
    </row>
    <row r="91" spans="1:3" s="204" customFormat="1" ht="18" customHeight="1" x14ac:dyDescent="0.35">
      <c r="A91" s="34" t="s">
        <v>162</v>
      </c>
      <c r="B91" s="206" t="s">
        <v>723</v>
      </c>
      <c r="C91" s="205" t="s">
        <v>759</v>
      </c>
    </row>
    <row r="92" spans="1:3" s="204" customFormat="1" ht="18" customHeight="1" x14ac:dyDescent="0.35">
      <c r="A92" s="34" t="s">
        <v>163</v>
      </c>
      <c r="B92" s="206" t="s">
        <v>723</v>
      </c>
      <c r="C92" s="205" t="s">
        <v>760</v>
      </c>
    </row>
    <row r="93" spans="1:3" s="204" customFormat="1" ht="18" customHeight="1" x14ac:dyDescent="0.35">
      <c r="A93" s="34" t="s">
        <v>164</v>
      </c>
      <c r="B93" s="206" t="s">
        <v>723</v>
      </c>
      <c r="C93" s="197" t="s">
        <v>761</v>
      </c>
    </row>
    <row r="94" spans="1:3" s="160" customFormat="1" ht="22" customHeight="1" x14ac:dyDescent="0.35">
      <c r="A94" s="34" t="s">
        <v>166</v>
      </c>
      <c r="B94" s="206" t="s">
        <v>762</v>
      </c>
      <c r="C94" s="209" t="s">
        <v>763</v>
      </c>
    </row>
    <row r="95" spans="1:3" s="160" customFormat="1" ht="18" customHeight="1" x14ac:dyDescent="0.35">
      <c r="A95" s="34" t="s">
        <v>167</v>
      </c>
      <c r="B95" s="206" t="s">
        <v>762</v>
      </c>
      <c r="C95" s="209" t="s">
        <v>764</v>
      </c>
    </row>
    <row r="96" spans="1:3" s="160" customFormat="1" ht="18" customHeight="1" x14ac:dyDescent="0.35">
      <c r="A96" s="34" t="s">
        <v>168</v>
      </c>
      <c r="B96" s="206" t="s">
        <v>762</v>
      </c>
      <c r="C96" s="209" t="s">
        <v>765</v>
      </c>
    </row>
    <row r="97" spans="1:3" s="160" customFormat="1" ht="18" customHeight="1" x14ac:dyDescent="0.35">
      <c r="A97" s="34" t="s">
        <v>169</v>
      </c>
      <c r="B97" s="206" t="s">
        <v>762</v>
      </c>
      <c r="C97" s="209" t="s">
        <v>766</v>
      </c>
    </row>
    <row r="98" spans="1:3" s="160" customFormat="1" ht="18" customHeight="1" x14ac:dyDescent="0.35">
      <c r="A98" s="34" t="s">
        <v>170</v>
      </c>
      <c r="B98" s="206" t="s">
        <v>762</v>
      </c>
      <c r="C98" s="209" t="s">
        <v>767</v>
      </c>
    </row>
    <row r="99" spans="1:3" s="160" customFormat="1" ht="22" customHeight="1" x14ac:dyDescent="0.35">
      <c r="A99" s="34" t="s">
        <v>171</v>
      </c>
      <c r="B99" s="206" t="s">
        <v>762</v>
      </c>
      <c r="C99" s="197" t="s">
        <v>768</v>
      </c>
    </row>
    <row r="100" spans="1:3" s="160" customFormat="1" ht="18" customHeight="1" x14ac:dyDescent="0.35">
      <c r="A100" s="34" t="s">
        <v>174</v>
      </c>
      <c r="B100" s="206" t="s">
        <v>762</v>
      </c>
      <c r="C100" s="197" t="s">
        <v>769</v>
      </c>
    </row>
    <row r="101" spans="1:3" s="160" customFormat="1" ht="18" customHeight="1" x14ac:dyDescent="0.35">
      <c r="A101" s="34" t="s">
        <v>175</v>
      </c>
      <c r="B101" s="206" t="s">
        <v>762</v>
      </c>
      <c r="C101" s="197" t="s">
        <v>770</v>
      </c>
    </row>
    <row r="102" spans="1:3" s="160" customFormat="1" ht="18" customHeight="1" x14ac:dyDescent="0.35">
      <c r="A102" s="34" t="s">
        <v>176</v>
      </c>
      <c r="B102" s="206" t="s">
        <v>762</v>
      </c>
      <c r="C102" s="197" t="s">
        <v>771</v>
      </c>
    </row>
    <row r="103" spans="1:3" s="160" customFormat="1" ht="18" customHeight="1" x14ac:dyDescent="0.35">
      <c r="A103" s="34" t="s">
        <v>177</v>
      </c>
      <c r="B103" s="206" t="s">
        <v>762</v>
      </c>
      <c r="C103" s="197" t="s">
        <v>772</v>
      </c>
    </row>
    <row r="104" spans="1:3" s="160" customFormat="1" ht="18" customHeight="1" x14ac:dyDescent="0.35">
      <c r="A104" s="34" t="s">
        <v>178</v>
      </c>
      <c r="B104" s="206" t="s">
        <v>762</v>
      </c>
      <c r="C104" s="197" t="s">
        <v>773</v>
      </c>
    </row>
    <row r="105" spans="1:3" s="160" customFormat="1" ht="18" customHeight="1" x14ac:dyDescent="0.35">
      <c r="A105" s="34" t="s">
        <v>180</v>
      </c>
      <c r="B105" s="206" t="s">
        <v>774</v>
      </c>
      <c r="C105" s="209" t="s">
        <v>775</v>
      </c>
    </row>
    <row r="106" spans="1:3" s="160" customFormat="1" ht="18" customHeight="1" x14ac:dyDescent="0.35">
      <c r="A106" s="34" t="s">
        <v>181</v>
      </c>
      <c r="B106" s="206" t="s">
        <v>774</v>
      </c>
      <c r="C106" s="209" t="s">
        <v>776</v>
      </c>
    </row>
    <row r="107" spans="1:3" s="160" customFormat="1" ht="18" customHeight="1" x14ac:dyDescent="0.35">
      <c r="A107" s="34" t="s">
        <v>182</v>
      </c>
      <c r="B107" s="206" t="s">
        <v>774</v>
      </c>
      <c r="C107" s="209" t="s">
        <v>777</v>
      </c>
    </row>
    <row r="108" spans="1:3" s="160" customFormat="1" ht="18" customHeight="1" x14ac:dyDescent="0.35">
      <c r="A108" s="34" t="s">
        <v>183</v>
      </c>
      <c r="B108" s="206" t="s">
        <v>774</v>
      </c>
      <c r="C108" s="197" t="s">
        <v>778</v>
      </c>
    </row>
    <row r="109" spans="1:3" s="160" customFormat="1" ht="18" customHeight="1" x14ac:dyDescent="0.35">
      <c r="A109" s="34" t="s">
        <v>185</v>
      </c>
      <c r="B109" s="206" t="s">
        <v>774</v>
      </c>
      <c r="C109" s="209" t="s">
        <v>779</v>
      </c>
    </row>
    <row r="110" spans="1:3" s="160" customFormat="1" ht="18" customHeight="1" x14ac:dyDescent="0.35">
      <c r="A110" s="34" t="s">
        <v>186</v>
      </c>
      <c r="B110" s="206" t="s">
        <v>774</v>
      </c>
      <c r="C110" s="209" t="s">
        <v>780</v>
      </c>
    </row>
    <row r="111" spans="1:3" s="160" customFormat="1" ht="18" customHeight="1" x14ac:dyDescent="0.35">
      <c r="A111" s="34" t="s">
        <v>187</v>
      </c>
      <c r="B111" s="206" t="s">
        <v>774</v>
      </c>
      <c r="C111" s="209" t="s">
        <v>781</v>
      </c>
    </row>
    <row r="112" spans="1:3" s="160" customFormat="1" ht="18" customHeight="1" x14ac:dyDescent="0.35">
      <c r="A112" s="34" t="s">
        <v>188</v>
      </c>
      <c r="B112" s="206" t="s">
        <v>774</v>
      </c>
      <c r="C112" s="209" t="s">
        <v>782</v>
      </c>
    </row>
    <row r="113" spans="1:3" s="160" customFormat="1" ht="35" customHeight="1" x14ac:dyDescent="0.35">
      <c r="A113" s="34" t="s">
        <v>189</v>
      </c>
      <c r="B113" s="206" t="s">
        <v>774</v>
      </c>
      <c r="C113" s="201" t="s">
        <v>783</v>
      </c>
    </row>
    <row r="114" spans="1:3" s="160" customFormat="1" ht="18" customHeight="1" x14ac:dyDescent="0.35">
      <c r="A114" s="34" t="s">
        <v>190</v>
      </c>
      <c r="B114" s="206" t="s">
        <v>774</v>
      </c>
      <c r="C114" s="197" t="s">
        <v>784</v>
      </c>
    </row>
    <row r="115" spans="1:3" s="160" customFormat="1" ht="18" customHeight="1" x14ac:dyDescent="0.35">
      <c r="A115" s="34" t="s">
        <v>192</v>
      </c>
      <c r="B115" s="206" t="s">
        <v>774</v>
      </c>
      <c r="C115" s="209" t="s">
        <v>785</v>
      </c>
    </row>
    <row r="116" spans="1:3" s="160" customFormat="1" ht="18" customHeight="1" x14ac:dyDescent="0.35">
      <c r="A116" s="34" t="s">
        <v>193</v>
      </c>
      <c r="B116" s="206" t="s">
        <v>774</v>
      </c>
      <c r="C116" s="209" t="s">
        <v>786</v>
      </c>
    </row>
    <row r="117" spans="1:3" s="160" customFormat="1" ht="18" customHeight="1" x14ac:dyDescent="0.35">
      <c r="A117" s="34" t="s">
        <v>194</v>
      </c>
      <c r="B117" s="206" t="s">
        <v>774</v>
      </c>
      <c r="C117" s="209" t="s">
        <v>787</v>
      </c>
    </row>
    <row r="118" spans="1:3" s="160" customFormat="1" ht="18" customHeight="1" x14ac:dyDescent="0.35">
      <c r="A118" s="34" t="s">
        <v>195</v>
      </c>
      <c r="B118" s="206" t="s">
        <v>774</v>
      </c>
      <c r="C118" s="209" t="s">
        <v>788</v>
      </c>
    </row>
    <row r="119" spans="1:3" s="160" customFormat="1" ht="18" customHeight="1" x14ac:dyDescent="0.35">
      <c r="A119" s="34" t="s">
        <v>197</v>
      </c>
      <c r="B119" s="206" t="s">
        <v>774</v>
      </c>
      <c r="C119" s="209" t="s">
        <v>789</v>
      </c>
    </row>
    <row r="120" spans="1:3" s="160" customFormat="1" ht="18" customHeight="1" x14ac:dyDescent="0.35">
      <c r="A120" s="34" t="s">
        <v>198</v>
      </c>
      <c r="B120" s="206" t="s">
        <v>774</v>
      </c>
      <c r="C120" s="209" t="s">
        <v>790</v>
      </c>
    </row>
    <row r="121" spans="1:3" s="160" customFormat="1" ht="18" customHeight="1" x14ac:dyDescent="0.35">
      <c r="A121" s="34" t="s">
        <v>199</v>
      </c>
      <c r="B121" s="206" t="s">
        <v>774</v>
      </c>
      <c r="C121" s="205" t="s">
        <v>791</v>
      </c>
    </row>
    <row r="122" spans="1:3" s="160" customFormat="1" ht="18" customHeight="1" x14ac:dyDescent="0.35">
      <c r="A122" s="34" t="s">
        <v>200</v>
      </c>
      <c r="B122" s="206" t="s">
        <v>774</v>
      </c>
      <c r="C122" s="209" t="s">
        <v>792</v>
      </c>
    </row>
    <row r="123" spans="1:3" s="160" customFormat="1" ht="35" customHeight="1" x14ac:dyDescent="0.35">
      <c r="A123" s="34" t="s">
        <v>202</v>
      </c>
      <c r="B123" s="206" t="s">
        <v>774</v>
      </c>
      <c r="C123" s="209" t="s">
        <v>793</v>
      </c>
    </row>
    <row r="124" spans="1:3" s="160" customFormat="1" ht="18" customHeight="1" x14ac:dyDescent="0.35">
      <c r="A124" s="34" t="s">
        <v>204</v>
      </c>
      <c r="B124" s="206" t="s">
        <v>794</v>
      </c>
      <c r="C124" s="209" t="s">
        <v>795</v>
      </c>
    </row>
    <row r="125" spans="1:3" s="160" customFormat="1" ht="18" customHeight="1" x14ac:dyDescent="0.35">
      <c r="A125" s="34" t="s">
        <v>205</v>
      </c>
      <c r="B125" s="206" t="s">
        <v>794</v>
      </c>
      <c r="C125" s="197" t="s">
        <v>796</v>
      </c>
    </row>
    <row r="126" spans="1:3" s="160" customFormat="1" ht="18" customHeight="1" x14ac:dyDescent="0.35">
      <c r="A126" s="34" t="s">
        <v>206</v>
      </c>
      <c r="B126" s="206" t="s">
        <v>794</v>
      </c>
      <c r="C126" s="197" t="s">
        <v>797</v>
      </c>
    </row>
    <row r="127" spans="1:3" s="160" customFormat="1" ht="62" customHeight="1" x14ac:dyDescent="0.35">
      <c r="A127" s="34" t="s">
        <v>207</v>
      </c>
      <c r="B127" s="206" t="s">
        <v>794</v>
      </c>
      <c r="C127" s="201" t="s">
        <v>798</v>
      </c>
    </row>
    <row r="128" spans="1:3" s="160" customFormat="1" ht="21.75" customHeight="1" x14ac:dyDescent="0.35">
      <c r="A128" s="136" t="s">
        <v>208</v>
      </c>
      <c r="B128" s="207" t="s">
        <v>774</v>
      </c>
      <c r="C128" s="210" t="s">
        <v>799</v>
      </c>
    </row>
    <row r="129" spans="1:3" s="160" customFormat="1" ht="18" customHeight="1" x14ac:dyDescent="0.35">
      <c r="A129" s="34" t="s">
        <v>209</v>
      </c>
      <c r="B129" s="206" t="s">
        <v>794</v>
      </c>
      <c r="C129" s="197" t="s">
        <v>800</v>
      </c>
    </row>
    <row r="130" spans="1:3" s="160" customFormat="1" ht="18" customHeight="1" x14ac:dyDescent="0.35">
      <c r="A130" s="34" t="s">
        <v>212</v>
      </c>
      <c r="B130" s="206" t="s">
        <v>794</v>
      </c>
      <c r="C130" s="209" t="s">
        <v>801</v>
      </c>
    </row>
    <row r="131" spans="1:3" s="160" customFormat="1" ht="18" customHeight="1" x14ac:dyDescent="0.35">
      <c r="A131" s="34" t="s">
        <v>213</v>
      </c>
      <c r="B131" s="206" t="s">
        <v>794</v>
      </c>
      <c r="C131" s="209" t="s">
        <v>802</v>
      </c>
    </row>
    <row r="132" spans="1:3" s="160" customFormat="1" ht="18" customHeight="1" x14ac:dyDescent="0.35">
      <c r="A132" s="34" t="s">
        <v>215</v>
      </c>
      <c r="B132" s="206" t="s">
        <v>794</v>
      </c>
      <c r="C132" s="209" t="s">
        <v>803</v>
      </c>
    </row>
    <row r="133" spans="1:3" s="160" customFormat="1" ht="18" customHeight="1" x14ac:dyDescent="0.35">
      <c r="A133" s="34" t="s">
        <v>217</v>
      </c>
      <c r="B133" s="206" t="s">
        <v>794</v>
      </c>
      <c r="C133" s="209" t="s">
        <v>804</v>
      </c>
    </row>
    <row r="134" spans="1:3" s="160" customFormat="1" ht="30" customHeight="1" x14ac:dyDescent="0.35">
      <c r="A134" s="34" t="s">
        <v>218</v>
      </c>
      <c r="B134" s="206" t="s">
        <v>794</v>
      </c>
      <c r="C134" s="201" t="s">
        <v>805</v>
      </c>
    </row>
    <row r="135" spans="1:3" s="160" customFormat="1" ht="18" customHeight="1" x14ac:dyDescent="0.35">
      <c r="A135" s="34" t="s">
        <v>220</v>
      </c>
      <c r="B135" s="206" t="s">
        <v>806</v>
      </c>
      <c r="C135" s="209" t="s">
        <v>807</v>
      </c>
    </row>
    <row r="136" spans="1:3" s="160" customFormat="1" ht="18" customHeight="1" x14ac:dyDescent="0.35">
      <c r="A136" s="34" t="s">
        <v>221</v>
      </c>
      <c r="B136" s="206" t="s">
        <v>806</v>
      </c>
      <c r="C136" s="209" t="s">
        <v>808</v>
      </c>
    </row>
    <row r="137" spans="1:3" s="160" customFormat="1" ht="18" customHeight="1" x14ac:dyDescent="0.35">
      <c r="A137" s="34" t="s">
        <v>222</v>
      </c>
      <c r="B137" s="206" t="s">
        <v>806</v>
      </c>
      <c r="C137" s="209" t="s">
        <v>809</v>
      </c>
    </row>
    <row r="138" spans="1:3" s="160" customFormat="1" ht="18" customHeight="1" x14ac:dyDescent="0.35">
      <c r="A138" s="34" t="s">
        <v>223</v>
      </c>
      <c r="B138" s="206" t="s">
        <v>806</v>
      </c>
      <c r="C138" s="209" t="s">
        <v>810</v>
      </c>
    </row>
    <row r="139" spans="1:3" s="160" customFormat="1" ht="18" customHeight="1" x14ac:dyDescent="0.35">
      <c r="A139" s="34" t="s">
        <v>225</v>
      </c>
      <c r="B139" s="206" t="s">
        <v>806</v>
      </c>
      <c r="C139" s="209" t="s">
        <v>811</v>
      </c>
    </row>
    <row r="140" spans="1:3" s="160" customFormat="1" ht="18" customHeight="1" x14ac:dyDescent="0.35">
      <c r="A140" s="34" t="s">
        <v>226</v>
      </c>
      <c r="B140" s="206" t="s">
        <v>806</v>
      </c>
      <c r="C140" s="209" t="s">
        <v>812</v>
      </c>
    </row>
    <row r="141" spans="1:3" s="160" customFormat="1" ht="18" customHeight="1" x14ac:dyDescent="0.35">
      <c r="A141" s="34" t="s">
        <v>227</v>
      </c>
      <c r="B141" s="206" t="s">
        <v>806</v>
      </c>
      <c r="C141" s="209" t="s">
        <v>813</v>
      </c>
    </row>
    <row r="142" spans="1:3" s="160" customFormat="1" ht="18" customHeight="1" x14ac:dyDescent="0.35">
      <c r="A142" s="34" t="s">
        <v>228</v>
      </c>
      <c r="B142" s="206" t="s">
        <v>806</v>
      </c>
      <c r="C142" s="209" t="s">
        <v>814</v>
      </c>
    </row>
    <row r="143" spans="1:3" s="160" customFormat="1" ht="18" customHeight="1" x14ac:dyDescent="0.35">
      <c r="A143" s="34" t="s">
        <v>229</v>
      </c>
      <c r="B143" s="206" t="s">
        <v>806</v>
      </c>
      <c r="C143" s="209" t="s">
        <v>815</v>
      </c>
    </row>
    <row r="144" spans="1:3" s="160" customFormat="1" ht="26" customHeight="1" x14ac:dyDescent="0.35">
      <c r="A144" s="34" t="s">
        <v>230</v>
      </c>
      <c r="B144" s="206" t="s">
        <v>806</v>
      </c>
      <c r="C144" s="197" t="s">
        <v>816</v>
      </c>
    </row>
    <row r="145" spans="1:3" s="160" customFormat="1" ht="50" customHeight="1" x14ac:dyDescent="0.35">
      <c r="A145" s="34" t="s">
        <v>233</v>
      </c>
      <c r="B145" s="206" t="s">
        <v>817</v>
      </c>
      <c r="C145" s="201" t="s">
        <v>818</v>
      </c>
    </row>
    <row r="146" spans="1:3" s="160" customFormat="1" ht="25" customHeight="1" x14ac:dyDescent="0.35">
      <c r="A146" s="34" t="s">
        <v>234</v>
      </c>
      <c r="B146" s="206" t="s">
        <v>817</v>
      </c>
      <c r="C146" s="197" t="s">
        <v>819</v>
      </c>
    </row>
    <row r="147" spans="1:3" s="160" customFormat="1" ht="32" customHeight="1" x14ac:dyDescent="0.35">
      <c r="A147" s="34" t="s">
        <v>235</v>
      </c>
      <c r="B147" s="206" t="s">
        <v>817</v>
      </c>
      <c r="C147" s="201" t="s">
        <v>820</v>
      </c>
    </row>
    <row r="148" spans="1:3" s="160" customFormat="1" ht="18" customHeight="1" x14ac:dyDescent="0.35">
      <c r="A148" s="34" t="s">
        <v>236</v>
      </c>
      <c r="B148" s="206" t="s">
        <v>817</v>
      </c>
      <c r="C148" s="197" t="s">
        <v>821</v>
      </c>
    </row>
    <row r="149" spans="1:3" s="160" customFormat="1" ht="30" customHeight="1" x14ac:dyDescent="0.35">
      <c r="A149" s="34" t="s">
        <v>238</v>
      </c>
      <c r="B149" s="206" t="s">
        <v>817</v>
      </c>
      <c r="C149" s="209" t="s">
        <v>822</v>
      </c>
    </row>
    <row r="150" spans="1:3" s="160" customFormat="1" ht="18" customHeight="1" x14ac:dyDescent="0.35">
      <c r="A150" s="34" t="s">
        <v>239</v>
      </c>
      <c r="B150" s="206" t="s">
        <v>817</v>
      </c>
      <c r="C150" s="209" t="s">
        <v>823</v>
      </c>
    </row>
    <row r="151" spans="1:3" s="160" customFormat="1" ht="18" customHeight="1" x14ac:dyDescent="0.35">
      <c r="A151" s="34" t="s">
        <v>240</v>
      </c>
      <c r="B151" s="206" t="s">
        <v>817</v>
      </c>
      <c r="C151" s="209" t="s">
        <v>824</v>
      </c>
    </row>
    <row r="152" spans="1:3" s="160" customFormat="1" ht="18" customHeight="1" x14ac:dyDescent="0.35">
      <c r="A152" s="34" t="s">
        <v>241</v>
      </c>
      <c r="B152" s="206" t="s">
        <v>817</v>
      </c>
      <c r="C152" s="209" t="s">
        <v>825</v>
      </c>
    </row>
    <row r="153" spans="1:3" s="160" customFormat="1" ht="25" customHeight="1" x14ac:dyDescent="0.35">
      <c r="A153" s="34" t="s">
        <v>242</v>
      </c>
      <c r="B153" s="206" t="s">
        <v>817</v>
      </c>
      <c r="C153" s="209" t="s">
        <v>826</v>
      </c>
    </row>
    <row r="154" spans="1:3" s="160" customFormat="1" ht="18" customHeight="1" x14ac:dyDescent="0.35">
      <c r="A154" s="34" t="s">
        <v>243</v>
      </c>
      <c r="B154" s="206" t="s">
        <v>817</v>
      </c>
      <c r="C154" s="211" t="s">
        <v>827</v>
      </c>
    </row>
    <row r="155" spans="1:3" s="160" customFormat="1" ht="26" customHeight="1" x14ac:dyDescent="0.35">
      <c r="A155" s="34" t="s">
        <v>244</v>
      </c>
      <c r="B155" s="206" t="s">
        <v>817</v>
      </c>
      <c r="C155" s="209" t="s">
        <v>828</v>
      </c>
    </row>
    <row r="156" spans="1:3" s="160" customFormat="1" ht="33" customHeight="1" x14ac:dyDescent="0.35">
      <c r="A156" s="34" t="s">
        <v>245</v>
      </c>
      <c r="B156" s="206" t="s">
        <v>817</v>
      </c>
      <c r="C156" s="209" t="s">
        <v>829</v>
      </c>
    </row>
    <row r="157" spans="1:3" s="160" customFormat="1" ht="45" customHeight="1" x14ac:dyDescent="0.35">
      <c r="A157" s="34" t="s">
        <v>246</v>
      </c>
      <c r="B157" s="206" t="s">
        <v>817</v>
      </c>
      <c r="C157" s="209" t="s">
        <v>830</v>
      </c>
    </row>
    <row r="158" spans="1:3" s="160" customFormat="1" ht="38" customHeight="1" x14ac:dyDescent="0.35">
      <c r="A158" s="34" t="s">
        <v>247</v>
      </c>
      <c r="B158" s="206" t="s">
        <v>817</v>
      </c>
      <c r="C158" s="209" t="s">
        <v>831</v>
      </c>
    </row>
    <row r="159" spans="1:3" s="160" customFormat="1" ht="30" customHeight="1" x14ac:dyDescent="0.35">
      <c r="A159" s="34" t="s">
        <v>248</v>
      </c>
      <c r="B159" s="206" t="s">
        <v>817</v>
      </c>
      <c r="C159" s="209" t="s">
        <v>832</v>
      </c>
    </row>
    <row r="160" spans="1:3" s="160" customFormat="1" ht="18" customHeight="1" x14ac:dyDescent="0.35">
      <c r="A160" s="34" t="s">
        <v>249</v>
      </c>
      <c r="B160" s="206" t="s">
        <v>817</v>
      </c>
      <c r="C160" s="209" t="s">
        <v>833</v>
      </c>
    </row>
    <row r="161" spans="1:3" s="160" customFormat="1" ht="49" customHeight="1" x14ac:dyDescent="0.35">
      <c r="A161" s="34" t="s">
        <v>250</v>
      </c>
      <c r="B161" s="206" t="s">
        <v>817</v>
      </c>
      <c r="C161" s="209" t="s">
        <v>834</v>
      </c>
    </row>
    <row r="162" spans="1:3" s="160" customFormat="1" ht="30" customHeight="1" x14ac:dyDescent="0.35">
      <c r="A162" s="34" t="s">
        <v>251</v>
      </c>
      <c r="B162" s="206" t="s">
        <v>817</v>
      </c>
      <c r="C162" s="209" t="s">
        <v>835</v>
      </c>
    </row>
    <row r="163" spans="1:3" s="160" customFormat="1" ht="25" customHeight="1" x14ac:dyDescent="0.35">
      <c r="A163" s="34" t="s">
        <v>252</v>
      </c>
      <c r="B163" s="206" t="s">
        <v>817</v>
      </c>
      <c r="C163" s="209" t="s">
        <v>836</v>
      </c>
    </row>
    <row r="164" spans="1:3" s="160" customFormat="1" ht="18" customHeight="1" x14ac:dyDescent="0.35">
      <c r="A164" s="34" t="s">
        <v>253</v>
      </c>
      <c r="B164" s="206" t="s">
        <v>817</v>
      </c>
      <c r="C164" s="209" t="s">
        <v>837</v>
      </c>
    </row>
    <row r="165" spans="1:3" s="160" customFormat="1" ht="38" customHeight="1" x14ac:dyDescent="0.35">
      <c r="A165" s="34" t="s">
        <v>255</v>
      </c>
      <c r="B165" s="206" t="s">
        <v>817</v>
      </c>
      <c r="C165" s="209" t="s">
        <v>838</v>
      </c>
    </row>
    <row r="166" spans="1:3" s="160" customFormat="1" ht="27" customHeight="1" x14ac:dyDescent="0.35">
      <c r="A166" s="34" t="s">
        <v>256</v>
      </c>
      <c r="B166" s="206" t="s">
        <v>817</v>
      </c>
      <c r="C166" s="209" t="s">
        <v>839</v>
      </c>
    </row>
    <row r="167" spans="1:3" s="160" customFormat="1" ht="32" customHeight="1" x14ac:dyDescent="0.35">
      <c r="A167" s="34" t="s">
        <v>258</v>
      </c>
      <c r="B167" s="206" t="s">
        <v>817</v>
      </c>
      <c r="C167" s="209" t="s">
        <v>840</v>
      </c>
    </row>
    <row r="168" spans="1:3" s="160" customFormat="1" ht="27" customHeight="1" x14ac:dyDescent="0.35">
      <c r="A168" s="34" t="s">
        <v>259</v>
      </c>
      <c r="B168" s="206" t="s">
        <v>817</v>
      </c>
      <c r="C168" s="209" t="s">
        <v>841</v>
      </c>
    </row>
    <row r="169" spans="1:3" s="160" customFormat="1" ht="24" customHeight="1" x14ac:dyDescent="0.35">
      <c r="A169" s="34" t="s">
        <v>260</v>
      </c>
      <c r="B169" s="206" t="s">
        <v>817</v>
      </c>
      <c r="C169" s="209" t="s">
        <v>842</v>
      </c>
    </row>
    <row r="170" spans="1:3" s="160" customFormat="1" ht="24" customHeight="1" x14ac:dyDescent="0.35">
      <c r="A170" s="34" t="s">
        <v>261</v>
      </c>
      <c r="B170" s="206" t="s">
        <v>817</v>
      </c>
      <c r="C170" s="209" t="s">
        <v>843</v>
      </c>
    </row>
    <row r="171" spans="1:3" s="160" customFormat="1" ht="24" customHeight="1" x14ac:dyDescent="0.35">
      <c r="A171" s="34" t="s">
        <v>262</v>
      </c>
      <c r="B171" s="206" t="s">
        <v>817</v>
      </c>
      <c r="C171" s="209" t="s">
        <v>844</v>
      </c>
    </row>
    <row r="172" spans="1:3" s="160" customFormat="1" ht="24" customHeight="1" x14ac:dyDescent="0.35">
      <c r="A172" s="34" t="s">
        <v>264</v>
      </c>
      <c r="B172" s="206" t="s">
        <v>817</v>
      </c>
      <c r="C172" s="209" t="s">
        <v>845</v>
      </c>
    </row>
    <row r="173" spans="1:3" s="160" customFormat="1" ht="24" customHeight="1" x14ac:dyDescent="0.35">
      <c r="A173" s="34" t="s">
        <v>265</v>
      </c>
      <c r="B173" s="206" t="s">
        <v>817</v>
      </c>
      <c r="C173" s="209" t="s">
        <v>846</v>
      </c>
    </row>
    <row r="174" spans="1:3" s="160" customFormat="1" ht="24" customHeight="1" x14ac:dyDescent="0.35">
      <c r="A174" s="34" t="s">
        <v>266</v>
      </c>
      <c r="B174" s="206" t="s">
        <v>817</v>
      </c>
      <c r="C174" s="205" t="s">
        <v>847</v>
      </c>
    </row>
    <row r="175" spans="1:3" s="160" customFormat="1" ht="24" customHeight="1" x14ac:dyDescent="0.35">
      <c r="A175" s="34" t="s">
        <v>268</v>
      </c>
      <c r="B175" s="206" t="s">
        <v>817</v>
      </c>
      <c r="C175" s="197" t="s">
        <v>848</v>
      </c>
    </row>
    <row r="176" spans="1:3" s="160" customFormat="1" ht="24" customHeight="1" x14ac:dyDescent="0.35">
      <c r="A176" s="34" t="s">
        <v>269</v>
      </c>
      <c r="B176" s="206" t="s">
        <v>817</v>
      </c>
      <c r="C176" s="197" t="s">
        <v>849</v>
      </c>
    </row>
    <row r="177" spans="1:3" s="160" customFormat="1" ht="24" customHeight="1" x14ac:dyDescent="0.35">
      <c r="A177" s="34" t="s">
        <v>270</v>
      </c>
      <c r="B177" s="206" t="s">
        <v>817</v>
      </c>
      <c r="C177" s="201" t="s">
        <v>850</v>
      </c>
    </row>
    <row r="178" spans="1:3" s="160" customFormat="1" ht="24" customHeight="1" x14ac:dyDescent="0.35">
      <c r="A178" s="34" t="s">
        <v>271</v>
      </c>
      <c r="B178" s="206" t="s">
        <v>817</v>
      </c>
      <c r="C178" s="197" t="s">
        <v>851</v>
      </c>
    </row>
    <row r="179" spans="1:3" s="160" customFormat="1" ht="24" customHeight="1" x14ac:dyDescent="0.35">
      <c r="A179" s="34" t="s">
        <v>272</v>
      </c>
      <c r="B179" s="206" t="s">
        <v>817</v>
      </c>
      <c r="C179" s="201" t="s">
        <v>852</v>
      </c>
    </row>
    <row r="180" spans="1:3" s="160" customFormat="1" ht="24" customHeight="1" x14ac:dyDescent="0.35">
      <c r="A180" s="34" t="s">
        <v>273</v>
      </c>
      <c r="B180" s="206" t="s">
        <v>817</v>
      </c>
      <c r="C180" s="201" t="s">
        <v>853</v>
      </c>
    </row>
    <row r="181" spans="1:3" s="160" customFormat="1" ht="18" customHeight="1" x14ac:dyDescent="0.35">
      <c r="A181" s="34" t="s">
        <v>274</v>
      </c>
      <c r="B181" s="206" t="s">
        <v>817</v>
      </c>
      <c r="C181" s="197" t="s">
        <v>854</v>
      </c>
    </row>
    <row r="182" spans="1:3" s="160" customFormat="1" ht="18" customHeight="1" x14ac:dyDescent="0.35">
      <c r="A182" s="34" t="s">
        <v>276</v>
      </c>
      <c r="B182" s="206" t="s">
        <v>275</v>
      </c>
      <c r="C182" s="197" t="s">
        <v>855</v>
      </c>
    </row>
    <row r="183" spans="1:3" s="160" customFormat="1" ht="18" customHeight="1" x14ac:dyDescent="0.35">
      <c r="A183" s="34" t="s">
        <v>282</v>
      </c>
      <c r="B183" s="206" t="s">
        <v>856</v>
      </c>
      <c r="C183" s="197" t="s">
        <v>857</v>
      </c>
    </row>
    <row r="184" spans="1:3" s="160" customFormat="1" ht="18" customHeight="1" x14ac:dyDescent="0.35">
      <c r="A184" s="34" t="s">
        <v>284</v>
      </c>
      <c r="B184" s="206" t="s">
        <v>856</v>
      </c>
      <c r="C184" s="197" t="s">
        <v>858</v>
      </c>
    </row>
    <row r="185" spans="1:3" s="160" customFormat="1" ht="18" customHeight="1" x14ac:dyDescent="0.35">
      <c r="A185" s="34" t="s">
        <v>285</v>
      </c>
      <c r="B185" s="206" t="s">
        <v>856</v>
      </c>
      <c r="C185" s="197" t="s">
        <v>859</v>
      </c>
    </row>
    <row r="186" spans="1:3" s="160" customFormat="1" ht="18" customHeight="1" x14ac:dyDescent="0.35">
      <c r="A186" s="34" t="s">
        <v>286</v>
      </c>
      <c r="B186" s="206" t="s">
        <v>856</v>
      </c>
      <c r="C186" s="197" t="s">
        <v>860</v>
      </c>
    </row>
    <row r="187" spans="1:3" s="160" customFormat="1" ht="18" customHeight="1" x14ac:dyDescent="0.35">
      <c r="A187" s="34" t="s">
        <v>287</v>
      </c>
      <c r="B187" s="206" t="s">
        <v>856</v>
      </c>
      <c r="C187" s="197" t="s">
        <v>861</v>
      </c>
    </row>
    <row r="188" spans="1:3" s="160" customFormat="1" ht="36" customHeight="1" x14ac:dyDescent="0.35">
      <c r="A188" s="34" t="s">
        <v>288</v>
      </c>
      <c r="B188" s="206" t="s">
        <v>856</v>
      </c>
      <c r="C188" s="201" t="s">
        <v>862</v>
      </c>
    </row>
    <row r="189" spans="1:3" s="160" customFormat="1" ht="36" customHeight="1" x14ac:dyDescent="0.35">
      <c r="A189" s="34" t="s">
        <v>289</v>
      </c>
      <c r="B189" s="206" t="s">
        <v>856</v>
      </c>
      <c r="C189" s="201" t="s">
        <v>863</v>
      </c>
    </row>
    <row r="190" spans="1:3" s="160" customFormat="1" ht="18" customHeight="1" x14ac:dyDescent="0.35">
      <c r="A190" s="34" t="s">
        <v>290</v>
      </c>
      <c r="B190" s="206" t="s">
        <v>856</v>
      </c>
      <c r="C190" s="201" t="s">
        <v>864</v>
      </c>
    </row>
    <row r="191" spans="1:3" s="160" customFormat="1" ht="18" customHeight="1" x14ac:dyDescent="0.35">
      <c r="A191" s="34" t="s">
        <v>291</v>
      </c>
      <c r="B191" s="206" t="s">
        <v>856</v>
      </c>
      <c r="C191" s="201" t="s">
        <v>865</v>
      </c>
    </row>
    <row r="192" spans="1:3" s="160" customFormat="1" ht="18" customHeight="1" x14ac:dyDescent="0.35">
      <c r="A192" s="34" t="s">
        <v>292</v>
      </c>
      <c r="B192" s="206" t="s">
        <v>856</v>
      </c>
      <c r="C192" s="201" t="s">
        <v>866</v>
      </c>
    </row>
    <row r="193" spans="1:3" s="160" customFormat="1" ht="18" customHeight="1" x14ac:dyDescent="0.35">
      <c r="A193" s="34" t="s">
        <v>293</v>
      </c>
      <c r="B193" s="206" t="s">
        <v>856</v>
      </c>
      <c r="C193" s="201" t="s">
        <v>867</v>
      </c>
    </row>
    <row r="194" spans="1:3" s="160" customFormat="1" ht="18" customHeight="1" x14ac:dyDescent="0.35">
      <c r="A194" s="34" t="s">
        <v>294</v>
      </c>
      <c r="B194" s="206" t="s">
        <v>856</v>
      </c>
      <c r="C194" s="201" t="s">
        <v>868</v>
      </c>
    </row>
    <row r="195" spans="1:3" s="160" customFormat="1" ht="18" customHeight="1" x14ac:dyDescent="0.35">
      <c r="A195" s="34" t="s">
        <v>295</v>
      </c>
      <c r="B195" s="206" t="s">
        <v>856</v>
      </c>
      <c r="C195" s="201" t="s">
        <v>869</v>
      </c>
    </row>
    <row r="196" spans="1:3" s="160" customFormat="1" ht="18" customHeight="1" x14ac:dyDescent="0.35">
      <c r="A196" s="34" t="s">
        <v>296</v>
      </c>
      <c r="B196" s="206" t="s">
        <v>856</v>
      </c>
      <c r="C196" s="201" t="s">
        <v>870</v>
      </c>
    </row>
    <row r="197" spans="1:3" s="160" customFormat="1" ht="24" customHeight="1" x14ac:dyDescent="0.35">
      <c r="A197" s="34" t="s">
        <v>297</v>
      </c>
      <c r="B197" s="206" t="s">
        <v>856</v>
      </c>
      <c r="C197" s="201" t="s">
        <v>871</v>
      </c>
    </row>
    <row r="198" spans="1:3" s="160" customFormat="1" ht="24" customHeight="1" x14ac:dyDescent="0.35">
      <c r="A198" s="34" t="s">
        <v>298</v>
      </c>
      <c r="B198" s="206" t="s">
        <v>856</v>
      </c>
      <c r="C198" s="201" t="s">
        <v>872</v>
      </c>
    </row>
    <row r="199" spans="1:3" s="160" customFormat="1" ht="24" customHeight="1" x14ac:dyDescent="0.35">
      <c r="A199" s="34" t="s">
        <v>299</v>
      </c>
      <c r="B199" s="206" t="s">
        <v>856</v>
      </c>
      <c r="C199" s="201" t="s">
        <v>873</v>
      </c>
    </row>
    <row r="200" spans="1:3" s="160" customFormat="1" ht="24" customHeight="1" x14ac:dyDescent="0.35">
      <c r="A200" s="34" t="s">
        <v>300</v>
      </c>
      <c r="B200" s="206" t="s">
        <v>856</v>
      </c>
      <c r="C200" s="201" t="s">
        <v>874</v>
      </c>
    </row>
    <row r="201" spans="1:3" s="160" customFormat="1" ht="24" customHeight="1" x14ac:dyDescent="0.35">
      <c r="A201" s="34" t="s">
        <v>301</v>
      </c>
      <c r="B201" s="206" t="s">
        <v>856</v>
      </c>
      <c r="C201" s="201" t="s">
        <v>875</v>
      </c>
    </row>
    <row r="202" spans="1:3" s="160" customFormat="1" ht="24" customHeight="1" x14ac:dyDescent="0.35">
      <c r="A202" s="34" t="s">
        <v>302</v>
      </c>
      <c r="B202" s="206" t="s">
        <v>856</v>
      </c>
      <c r="C202" s="201" t="s">
        <v>876</v>
      </c>
    </row>
    <row r="203" spans="1:3" s="160" customFormat="1" ht="24" customHeight="1" x14ac:dyDescent="0.35">
      <c r="A203" s="34" t="s">
        <v>306</v>
      </c>
      <c r="B203" s="206" t="s">
        <v>877</v>
      </c>
      <c r="C203" s="201" t="s">
        <v>878</v>
      </c>
    </row>
    <row r="204" spans="1:3" s="160" customFormat="1" ht="24" customHeight="1" x14ac:dyDescent="0.35">
      <c r="A204" s="34" t="s">
        <v>307</v>
      </c>
      <c r="B204" s="206" t="s">
        <v>877</v>
      </c>
      <c r="C204" s="201" t="s">
        <v>879</v>
      </c>
    </row>
    <row r="205" spans="1:3" s="160" customFormat="1" ht="24" customHeight="1" x14ac:dyDescent="0.35">
      <c r="A205" s="34" t="s">
        <v>308</v>
      </c>
      <c r="B205" s="206" t="s">
        <v>877</v>
      </c>
      <c r="C205" s="201" t="s">
        <v>880</v>
      </c>
    </row>
    <row r="206" spans="1:3" s="160" customFormat="1" ht="18" customHeight="1" x14ac:dyDescent="0.35">
      <c r="A206" s="34" t="s">
        <v>309</v>
      </c>
      <c r="B206" s="206" t="s">
        <v>877</v>
      </c>
      <c r="C206" s="201" t="s">
        <v>881</v>
      </c>
    </row>
    <row r="207" spans="1:3" s="160" customFormat="1" ht="18" customHeight="1" x14ac:dyDescent="0.35">
      <c r="A207" s="34" t="s">
        <v>310</v>
      </c>
      <c r="B207" s="206" t="s">
        <v>877</v>
      </c>
      <c r="C207" s="201" t="s">
        <v>882</v>
      </c>
    </row>
    <row r="208" spans="1:3" s="160" customFormat="1" ht="18" customHeight="1" x14ac:dyDescent="0.35">
      <c r="A208" s="34" t="s">
        <v>311</v>
      </c>
      <c r="B208" s="206" t="s">
        <v>877</v>
      </c>
      <c r="C208" s="201" t="s">
        <v>883</v>
      </c>
    </row>
    <row r="209" spans="1:3" s="160" customFormat="1" ht="18" customHeight="1" x14ac:dyDescent="0.35">
      <c r="A209" s="34" t="s">
        <v>312</v>
      </c>
      <c r="B209" s="206" t="s">
        <v>877</v>
      </c>
      <c r="C209" s="201" t="s">
        <v>884</v>
      </c>
    </row>
    <row r="210" spans="1:3" s="160" customFormat="1" ht="18" customHeight="1" x14ac:dyDescent="0.35">
      <c r="A210" s="34" t="s">
        <v>313</v>
      </c>
      <c r="B210" s="206" t="s">
        <v>877</v>
      </c>
      <c r="C210" s="201" t="s">
        <v>885</v>
      </c>
    </row>
    <row r="211" spans="1:3" s="160" customFormat="1" ht="18" customHeight="1" x14ac:dyDescent="0.35">
      <c r="A211" s="34" t="s">
        <v>314</v>
      </c>
      <c r="B211" s="206" t="s">
        <v>877</v>
      </c>
      <c r="C211" s="201" t="s">
        <v>886</v>
      </c>
    </row>
    <row r="212" spans="1:3" s="160" customFormat="1" ht="18" customHeight="1" x14ac:dyDescent="0.35">
      <c r="A212" s="34" t="s">
        <v>317</v>
      </c>
      <c r="B212" s="206" t="s">
        <v>887</v>
      </c>
      <c r="C212" s="201" t="s">
        <v>888</v>
      </c>
    </row>
    <row r="213" spans="1:3" s="160" customFormat="1" ht="18" customHeight="1" x14ac:dyDescent="0.35">
      <c r="A213" s="34" t="s">
        <v>318</v>
      </c>
      <c r="B213" s="206" t="s">
        <v>887</v>
      </c>
      <c r="C213" s="201" t="s">
        <v>889</v>
      </c>
    </row>
    <row r="214" spans="1:3" s="160" customFormat="1" ht="18" customHeight="1" x14ac:dyDescent="0.35">
      <c r="A214" s="34" t="s">
        <v>319</v>
      </c>
      <c r="B214" s="206" t="s">
        <v>887</v>
      </c>
      <c r="C214" s="201" t="s">
        <v>890</v>
      </c>
    </row>
    <row r="215" spans="1:3" s="160" customFormat="1" ht="18" customHeight="1" x14ac:dyDescent="0.35">
      <c r="A215" s="34" t="s">
        <v>320</v>
      </c>
      <c r="B215" s="206" t="s">
        <v>887</v>
      </c>
      <c r="C215" s="201" t="s">
        <v>891</v>
      </c>
    </row>
    <row r="216" spans="1:3" s="160" customFormat="1" ht="18" customHeight="1" x14ac:dyDescent="0.35">
      <c r="A216" s="34" t="s">
        <v>321</v>
      </c>
      <c r="B216" s="206" t="s">
        <v>887</v>
      </c>
      <c r="C216" s="201" t="s">
        <v>892</v>
      </c>
    </row>
    <row r="217" spans="1:3" s="160" customFormat="1" ht="24" customHeight="1" x14ac:dyDescent="0.35">
      <c r="A217" s="34" t="s">
        <v>322</v>
      </c>
      <c r="B217" s="206" t="s">
        <v>887</v>
      </c>
      <c r="C217" s="201" t="s">
        <v>893</v>
      </c>
    </row>
    <row r="218" spans="1:3" s="160" customFormat="1" ht="24" customHeight="1" x14ac:dyDescent="0.35">
      <c r="A218" s="34" t="s">
        <v>323</v>
      </c>
      <c r="B218" s="206" t="s">
        <v>887</v>
      </c>
      <c r="C218" s="201" t="s">
        <v>894</v>
      </c>
    </row>
    <row r="219" spans="1:3" s="160" customFormat="1" ht="34" customHeight="1" x14ac:dyDescent="0.35">
      <c r="A219" s="34" t="s">
        <v>324</v>
      </c>
      <c r="B219" s="206" t="s">
        <v>887</v>
      </c>
      <c r="C219" s="201" t="s">
        <v>895</v>
      </c>
    </row>
    <row r="220" spans="1:3" s="160" customFormat="1" ht="36" customHeight="1" x14ac:dyDescent="0.35">
      <c r="A220" s="34" t="s">
        <v>325</v>
      </c>
      <c r="B220" s="206" t="s">
        <v>887</v>
      </c>
      <c r="C220" s="201" t="s">
        <v>896</v>
      </c>
    </row>
    <row r="221" spans="1:3" s="160" customFormat="1" ht="36" customHeight="1" x14ac:dyDescent="0.35">
      <c r="A221" s="34" t="s">
        <v>326</v>
      </c>
      <c r="B221" s="206" t="s">
        <v>887</v>
      </c>
      <c r="C221" s="201" t="s">
        <v>897</v>
      </c>
    </row>
    <row r="222" spans="1:3" s="160" customFormat="1" ht="18" customHeight="1" x14ac:dyDescent="0.35">
      <c r="A222" s="34" t="s">
        <v>327</v>
      </c>
      <c r="B222" s="206" t="s">
        <v>887</v>
      </c>
      <c r="C222" s="197" t="s">
        <v>898</v>
      </c>
    </row>
    <row r="223" spans="1:3" s="160" customFormat="1" ht="18" customHeight="1" x14ac:dyDescent="0.35">
      <c r="A223" s="34" t="s">
        <v>328</v>
      </c>
      <c r="B223" s="206" t="s">
        <v>887</v>
      </c>
      <c r="C223" s="197" t="s">
        <v>899</v>
      </c>
    </row>
    <row r="224" spans="1:3" s="160" customFormat="1" ht="18" customHeight="1" x14ac:dyDescent="0.35">
      <c r="A224" s="34" t="s">
        <v>330</v>
      </c>
      <c r="B224" s="206" t="s">
        <v>887</v>
      </c>
      <c r="C224" s="197" t="s">
        <v>900</v>
      </c>
    </row>
    <row r="225" spans="1:3" s="160" customFormat="1" ht="18" customHeight="1" x14ac:dyDescent="0.35">
      <c r="A225" s="34" t="s">
        <v>333</v>
      </c>
      <c r="B225" s="206" t="s">
        <v>901</v>
      </c>
      <c r="C225" s="197" t="s">
        <v>902</v>
      </c>
    </row>
    <row r="226" spans="1:3" s="160" customFormat="1" ht="24" customHeight="1" x14ac:dyDescent="0.35">
      <c r="A226" s="34" t="s">
        <v>334</v>
      </c>
      <c r="B226" s="206" t="s">
        <v>901</v>
      </c>
      <c r="C226" s="197" t="s">
        <v>903</v>
      </c>
    </row>
    <row r="227" spans="1:3" s="160" customFormat="1" ht="24" customHeight="1" x14ac:dyDescent="0.35">
      <c r="A227" s="136" t="s">
        <v>335</v>
      </c>
      <c r="B227" s="207" t="s">
        <v>901</v>
      </c>
      <c r="C227" s="208" t="s">
        <v>904</v>
      </c>
    </row>
    <row r="228" spans="1:3" s="160" customFormat="1" ht="18" customHeight="1" x14ac:dyDescent="0.35">
      <c r="A228" s="34" t="s">
        <v>336</v>
      </c>
      <c r="B228" s="206" t="s">
        <v>901</v>
      </c>
      <c r="C228" s="197" t="s">
        <v>905</v>
      </c>
    </row>
    <row r="229" spans="1:3" s="160" customFormat="1" ht="18" customHeight="1" x14ac:dyDescent="0.35">
      <c r="A229" s="34" t="s">
        <v>337</v>
      </c>
      <c r="B229" s="206" t="s">
        <v>901</v>
      </c>
      <c r="C229" s="197" t="s">
        <v>906</v>
      </c>
    </row>
    <row r="230" spans="1:3" s="160" customFormat="1" ht="18" customHeight="1" x14ac:dyDescent="0.35">
      <c r="A230" s="34" t="s">
        <v>338</v>
      </c>
      <c r="B230" s="206" t="s">
        <v>901</v>
      </c>
      <c r="C230" s="197" t="s">
        <v>907</v>
      </c>
    </row>
    <row r="231" spans="1:3" s="160" customFormat="1" ht="18" customHeight="1" x14ac:dyDescent="0.35">
      <c r="A231" s="34" t="s">
        <v>339</v>
      </c>
      <c r="B231" s="206" t="s">
        <v>901</v>
      </c>
      <c r="C231" s="197" t="s">
        <v>908</v>
      </c>
    </row>
    <row r="232" spans="1:3" s="160" customFormat="1" ht="26" customHeight="1" x14ac:dyDescent="0.35">
      <c r="A232" s="34" t="s">
        <v>340</v>
      </c>
      <c r="B232" s="206" t="s">
        <v>901</v>
      </c>
      <c r="C232" s="201" t="s">
        <v>909</v>
      </c>
    </row>
    <row r="233" spans="1:3" s="160" customFormat="1" ht="18" customHeight="1" x14ac:dyDescent="0.35">
      <c r="A233" s="34" t="s">
        <v>341</v>
      </c>
      <c r="B233" s="206" t="s">
        <v>901</v>
      </c>
      <c r="C233" s="197" t="s">
        <v>910</v>
      </c>
    </row>
    <row r="234" spans="1:3" s="160" customFormat="1" ht="18" customHeight="1" x14ac:dyDescent="0.35">
      <c r="A234" s="34" t="s">
        <v>342</v>
      </c>
      <c r="B234" s="206" t="s">
        <v>901</v>
      </c>
      <c r="C234" s="197" t="s">
        <v>911</v>
      </c>
    </row>
    <row r="235" spans="1:3" s="160" customFormat="1" ht="24" customHeight="1" x14ac:dyDescent="0.35">
      <c r="A235" s="34" t="s">
        <v>343</v>
      </c>
      <c r="B235" s="206" t="s">
        <v>901</v>
      </c>
      <c r="C235" s="197" t="s">
        <v>912</v>
      </c>
    </row>
    <row r="236" spans="1:3" s="160" customFormat="1" ht="18" customHeight="1" x14ac:dyDescent="0.35">
      <c r="A236" s="34" t="s">
        <v>344</v>
      </c>
      <c r="B236" s="206" t="s">
        <v>901</v>
      </c>
      <c r="C236" s="197" t="s">
        <v>913</v>
      </c>
    </row>
    <row r="237" spans="1:3" s="160" customFormat="1" ht="18" customHeight="1" x14ac:dyDescent="0.35">
      <c r="A237" s="34" t="s">
        <v>345</v>
      </c>
      <c r="B237" s="206" t="s">
        <v>901</v>
      </c>
      <c r="C237" s="197" t="s">
        <v>914</v>
      </c>
    </row>
    <row r="238" spans="1:3" s="160" customFormat="1" ht="18" customHeight="1" x14ac:dyDescent="0.35">
      <c r="A238" s="34" t="s">
        <v>348</v>
      </c>
      <c r="B238" s="206" t="s">
        <v>915</v>
      </c>
      <c r="C238" s="197" t="s">
        <v>916</v>
      </c>
    </row>
    <row r="239" spans="1:3" s="160" customFormat="1" ht="18" customHeight="1" x14ac:dyDescent="0.35">
      <c r="A239" s="34" t="s">
        <v>349</v>
      </c>
      <c r="B239" s="206" t="s">
        <v>915</v>
      </c>
      <c r="C239" s="197" t="s">
        <v>917</v>
      </c>
    </row>
    <row r="240" spans="1:3" s="160" customFormat="1" ht="18" customHeight="1" x14ac:dyDescent="0.35">
      <c r="A240" s="136" t="s">
        <v>350</v>
      </c>
      <c r="B240" s="207" t="s">
        <v>915</v>
      </c>
      <c r="C240" s="212" t="s">
        <v>918</v>
      </c>
    </row>
    <row r="241" spans="1:3" s="160" customFormat="1" ht="18" customHeight="1" x14ac:dyDescent="0.35">
      <c r="A241" s="34" t="s">
        <v>351</v>
      </c>
      <c r="B241" s="206" t="s">
        <v>915</v>
      </c>
      <c r="C241" s="197" t="s">
        <v>919</v>
      </c>
    </row>
    <row r="242" spans="1:3" s="160" customFormat="1" ht="18" customHeight="1" x14ac:dyDescent="0.35">
      <c r="A242" s="34" t="s">
        <v>352</v>
      </c>
      <c r="B242" s="206" t="s">
        <v>915</v>
      </c>
      <c r="C242" s="197" t="s">
        <v>920</v>
      </c>
    </row>
    <row r="243" spans="1:3" s="160" customFormat="1" ht="18" customHeight="1" x14ac:dyDescent="0.35">
      <c r="A243" s="34" t="s">
        <v>353</v>
      </c>
      <c r="B243" s="206" t="s">
        <v>915</v>
      </c>
      <c r="C243" s="197" t="s">
        <v>921</v>
      </c>
    </row>
    <row r="244" spans="1:3" s="160" customFormat="1" ht="26" customHeight="1" x14ac:dyDescent="0.35">
      <c r="A244" s="34" t="s">
        <v>354</v>
      </c>
      <c r="B244" s="206" t="s">
        <v>915</v>
      </c>
      <c r="C244" s="197" t="s">
        <v>922</v>
      </c>
    </row>
    <row r="245" spans="1:3" s="160" customFormat="1" ht="26" customHeight="1" x14ac:dyDescent="0.35">
      <c r="A245" s="34" t="s">
        <v>355</v>
      </c>
      <c r="B245" s="206" t="s">
        <v>915</v>
      </c>
      <c r="C245" s="197" t="s">
        <v>923</v>
      </c>
    </row>
    <row r="246" spans="1:3" s="160" customFormat="1" ht="18" customHeight="1" x14ac:dyDescent="0.35">
      <c r="A246" s="34" t="s">
        <v>356</v>
      </c>
      <c r="B246" s="206" t="s">
        <v>915</v>
      </c>
      <c r="C246" s="197" t="s">
        <v>924</v>
      </c>
    </row>
    <row r="247" spans="1:3" s="160" customFormat="1" ht="18" customHeight="1" x14ac:dyDescent="0.35">
      <c r="A247" s="34" t="s">
        <v>357</v>
      </c>
      <c r="B247" s="206" t="s">
        <v>915</v>
      </c>
      <c r="C247" s="197" t="s">
        <v>925</v>
      </c>
    </row>
    <row r="248" spans="1:3" s="160" customFormat="1" ht="18" customHeight="1" x14ac:dyDescent="0.35">
      <c r="A248" s="34" t="s">
        <v>358</v>
      </c>
      <c r="B248" s="206" t="s">
        <v>915</v>
      </c>
      <c r="C248" s="197" t="s">
        <v>926</v>
      </c>
    </row>
    <row r="249" spans="1:3" s="160" customFormat="1" ht="24" customHeight="1" x14ac:dyDescent="0.35">
      <c r="A249" s="34" t="s">
        <v>360</v>
      </c>
      <c r="B249" s="206" t="s">
        <v>927</v>
      </c>
      <c r="C249" s="201" t="s">
        <v>928</v>
      </c>
    </row>
    <row r="250" spans="1:3" s="160" customFormat="1" ht="24" customHeight="1" x14ac:dyDescent="0.35">
      <c r="A250" s="34" t="s">
        <v>362</v>
      </c>
      <c r="B250" s="206" t="s">
        <v>927</v>
      </c>
      <c r="C250" s="201" t="s">
        <v>929</v>
      </c>
    </row>
    <row r="251" spans="1:3" s="160" customFormat="1" ht="24" customHeight="1" x14ac:dyDescent="0.35">
      <c r="A251" s="34" t="s">
        <v>363</v>
      </c>
      <c r="B251" s="206" t="s">
        <v>927</v>
      </c>
      <c r="C251" s="201" t="s">
        <v>930</v>
      </c>
    </row>
    <row r="252" spans="1:3" s="160" customFormat="1" ht="24" customHeight="1" x14ac:dyDescent="0.35">
      <c r="A252" s="34" t="s">
        <v>364</v>
      </c>
      <c r="B252" s="206" t="s">
        <v>927</v>
      </c>
      <c r="C252" s="201" t="s">
        <v>931</v>
      </c>
    </row>
    <row r="253" spans="1:3" s="160" customFormat="1" ht="55.25" customHeight="1" x14ac:dyDescent="0.35">
      <c r="A253" s="34" t="s">
        <v>367</v>
      </c>
      <c r="B253" s="206" t="s">
        <v>932</v>
      </c>
      <c r="C253" s="201" t="s">
        <v>933</v>
      </c>
    </row>
    <row r="254" spans="1:3" s="160" customFormat="1" ht="24" customHeight="1" x14ac:dyDescent="0.35">
      <c r="A254" s="34" t="s">
        <v>368</v>
      </c>
      <c r="B254" s="206" t="s">
        <v>932</v>
      </c>
      <c r="C254" s="201" t="s">
        <v>934</v>
      </c>
    </row>
    <row r="255" spans="1:3" s="160" customFormat="1" ht="24" customHeight="1" x14ac:dyDescent="0.35">
      <c r="A255" s="34" t="s">
        <v>370</v>
      </c>
      <c r="B255" s="206" t="s">
        <v>932</v>
      </c>
      <c r="C255" s="201" t="s">
        <v>935</v>
      </c>
    </row>
    <row r="256" spans="1:3" s="160" customFormat="1" ht="24" customHeight="1" x14ac:dyDescent="0.35">
      <c r="A256" s="34" t="s">
        <v>371</v>
      </c>
      <c r="B256" s="206" t="s">
        <v>932</v>
      </c>
      <c r="C256" s="201" t="s">
        <v>936</v>
      </c>
    </row>
    <row r="257" spans="1:3" s="160" customFormat="1" ht="24" customHeight="1" x14ac:dyDescent="0.35">
      <c r="A257" s="34" t="s">
        <v>372</v>
      </c>
      <c r="B257" s="206" t="s">
        <v>932</v>
      </c>
      <c r="C257" s="201" t="s">
        <v>937</v>
      </c>
    </row>
    <row r="258" spans="1:3" s="160" customFormat="1" ht="18" customHeight="1" x14ac:dyDescent="0.35">
      <c r="A258" s="34" t="s">
        <v>373</v>
      </c>
      <c r="B258" s="206" t="s">
        <v>932</v>
      </c>
      <c r="C258" s="201" t="s">
        <v>938</v>
      </c>
    </row>
    <row r="259" spans="1:3" s="160" customFormat="1" ht="18" customHeight="1" x14ac:dyDescent="0.35">
      <c r="A259" s="34" t="s">
        <v>374</v>
      </c>
      <c r="B259" s="206" t="s">
        <v>932</v>
      </c>
      <c r="C259" s="201" t="s">
        <v>939</v>
      </c>
    </row>
    <row r="260" spans="1:3" s="160" customFormat="1" ht="24" customHeight="1" x14ac:dyDescent="0.35">
      <c r="A260" s="34" t="s">
        <v>375</v>
      </c>
      <c r="B260" s="206" t="s">
        <v>932</v>
      </c>
      <c r="C260" s="201" t="s">
        <v>940</v>
      </c>
    </row>
    <row r="261" spans="1:3" s="160" customFormat="1" ht="24" customHeight="1" x14ac:dyDescent="0.35">
      <c r="A261" s="34" t="s">
        <v>376</v>
      </c>
      <c r="B261" s="206" t="s">
        <v>932</v>
      </c>
      <c r="C261" s="213" t="s">
        <v>941</v>
      </c>
    </row>
    <row r="262" spans="1:3" s="160" customFormat="1" ht="18" customHeight="1" x14ac:dyDescent="0.35">
      <c r="A262" s="34" t="s">
        <v>377</v>
      </c>
      <c r="B262" s="206" t="s">
        <v>932</v>
      </c>
      <c r="C262" s="201" t="s">
        <v>942</v>
      </c>
    </row>
    <row r="263" spans="1:3" s="160" customFormat="1" ht="18" customHeight="1" x14ac:dyDescent="0.35">
      <c r="A263" s="34" t="s">
        <v>378</v>
      </c>
      <c r="B263" s="206" t="s">
        <v>932</v>
      </c>
      <c r="C263" s="201" t="s">
        <v>943</v>
      </c>
    </row>
    <row r="264" spans="1:3" s="160" customFormat="1" ht="18" customHeight="1" x14ac:dyDescent="0.35">
      <c r="A264" s="34" t="s">
        <v>379</v>
      </c>
      <c r="B264" s="206" t="s">
        <v>932</v>
      </c>
      <c r="C264" s="201" t="s">
        <v>944</v>
      </c>
    </row>
    <row r="265" spans="1:3" s="160" customFormat="1" ht="18" customHeight="1" x14ac:dyDescent="0.35">
      <c r="A265" s="34" t="s">
        <v>380</v>
      </c>
      <c r="B265" s="206" t="s">
        <v>932</v>
      </c>
      <c r="C265" s="201" t="s">
        <v>945</v>
      </c>
    </row>
    <row r="266" spans="1:3" s="160" customFormat="1" ht="18" customHeight="1" x14ac:dyDescent="0.35">
      <c r="A266" s="34" t="s">
        <v>381</v>
      </c>
      <c r="B266" s="206" t="s">
        <v>932</v>
      </c>
      <c r="C266" s="201" t="s">
        <v>946</v>
      </c>
    </row>
    <row r="267" spans="1:3" s="160" customFormat="1" ht="18" customHeight="1" x14ac:dyDescent="0.35">
      <c r="A267" s="34" t="s">
        <v>382</v>
      </c>
      <c r="B267" s="206" t="s">
        <v>932</v>
      </c>
      <c r="C267" s="201" t="s">
        <v>947</v>
      </c>
    </row>
    <row r="268" spans="1:3" s="160" customFormat="1" ht="18" customHeight="1" x14ac:dyDescent="0.35">
      <c r="A268" s="34" t="s">
        <v>383</v>
      </c>
      <c r="B268" s="206" t="s">
        <v>932</v>
      </c>
      <c r="C268" s="201" t="s">
        <v>948</v>
      </c>
    </row>
    <row r="269" spans="1:3" s="160" customFormat="1" ht="18" customHeight="1" x14ac:dyDescent="0.35">
      <c r="A269" s="34" t="s">
        <v>384</v>
      </c>
      <c r="B269" s="206" t="s">
        <v>932</v>
      </c>
      <c r="C269" s="209" t="s">
        <v>949</v>
      </c>
    </row>
    <row r="270" spans="1:3" s="160" customFormat="1" ht="18" customHeight="1" x14ac:dyDescent="0.35">
      <c r="A270" s="34" t="s">
        <v>385</v>
      </c>
      <c r="B270" s="206" t="s">
        <v>932</v>
      </c>
      <c r="C270" s="201" t="s">
        <v>950</v>
      </c>
    </row>
    <row r="271" spans="1:3" s="160" customFormat="1" ht="18" customHeight="1" x14ac:dyDescent="0.35">
      <c r="A271" s="34" t="s">
        <v>389</v>
      </c>
      <c r="B271" s="206" t="s">
        <v>951</v>
      </c>
      <c r="C271" s="214" t="s">
        <v>952</v>
      </c>
    </row>
    <row r="272" spans="1:3" s="160" customFormat="1" ht="18" customHeight="1" x14ac:dyDescent="0.35">
      <c r="A272" s="34" t="s">
        <v>390</v>
      </c>
      <c r="B272" s="206" t="s">
        <v>951</v>
      </c>
      <c r="C272" s="214" t="s">
        <v>953</v>
      </c>
    </row>
    <row r="273" spans="1:3" s="160" customFormat="1" ht="18" customHeight="1" x14ac:dyDescent="0.35">
      <c r="A273" s="34" t="s">
        <v>391</v>
      </c>
      <c r="B273" s="206" t="s">
        <v>951</v>
      </c>
      <c r="C273" s="214" t="s">
        <v>954</v>
      </c>
    </row>
    <row r="274" spans="1:3" s="160" customFormat="1" ht="18" customHeight="1" x14ac:dyDescent="0.35">
      <c r="A274" s="34" t="s">
        <v>393</v>
      </c>
      <c r="B274" s="206" t="s">
        <v>951</v>
      </c>
      <c r="C274" s="214" t="s">
        <v>955</v>
      </c>
    </row>
    <row r="275" spans="1:3" s="160" customFormat="1" ht="18" customHeight="1" x14ac:dyDescent="0.35">
      <c r="A275" s="34" t="s">
        <v>394</v>
      </c>
      <c r="B275" s="206" t="s">
        <v>951</v>
      </c>
      <c r="C275" s="214" t="s">
        <v>956</v>
      </c>
    </row>
    <row r="276" spans="1:3" s="160" customFormat="1" ht="18" customHeight="1" x14ac:dyDescent="0.35">
      <c r="A276" s="34" t="s">
        <v>395</v>
      </c>
      <c r="B276" s="206" t="s">
        <v>951</v>
      </c>
      <c r="C276" s="214" t="s">
        <v>957</v>
      </c>
    </row>
    <row r="277" spans="1:3" s="160" customFormat="1" ht="18" customHeight="1" x14ac:dyDescent="0.35">
      <c r="A277" s="34" t="s">
        <v>396</v>
      </c>
      <c r="B277" s="206" t="s">
        <v>951</v>
      </c>
      <c r="C277" s="214" t="s">
        <v>958</v>
      </c>
    </row>
    <row r="278" spans="1:3" s="160" customFormat="1" ht="18" customHeight="1" x14ac:dyDescent="0.35">
      <c r="A278" s="34" t="s">
        <v>397</v>
      </c>
      <c r="B278" s="206" t="s">
        <v>275</v>
      </c>
      <c r="C278" s="214" t="s">
        <v>959</v>
      </c>
    </row>
    <row r="279" spans="1:3" s="160" customFormat="1" ht="18" customHeight="1" x14ac:dyDescent="0.35">
      <c r="A279" s="34" t="s">
        <v>401</v>
      </c>
      <c r="B279" s="206" t="s">
        <v>960</v>
      </c>
      <c r="C279" s="201" t="s">
        <v>961</v>
      </c>
    </row>
    <row r="280" spans="1:3" s="160" customFormat="1" ht="18" customHeight="1" x14ac:dyDescent="0.35">
      <c r="A280" s="34" t="s">
        <v>402</v>
      </c>
      <c r="B280" s="206" t="s">
        <v>960</v>
      </c>
      <c r="C280" s="201" t="s">
        <v>961</v>
      </c>
    </row>
    <row r="281" spans="1:3" s="160" customFormat="1" ht="18" customHeight="1" x14ac:dyDescent="0.35">
      <c r="A281" s="34" t="s">
        <v>403</v>
      </c>
      <c r="B281" s="206" t="s">
        <v>960</v>
      </c>
      <c r="C281" s="201" t="s">
        <v>962</v>
      </c>
    </row>
    <row r="282" spans="1:3" s="160" customFormat="1" ht="18" customHeight="1" x14ac:dyDescent="0.35">
      <c r="A282" s="34" t="s">
        <v>404</v>
      </c>
      <c r="B282" s="206" t="s">
        <v>960</v>
      </c>
      <c r="C282" s="201" t="s">
        <v>963</v>
      </c>
    </row>
    <row r="283" spans="1:3" s="160" customFormat="1" ht="18" customHeight="1" x14ac:dyDescent="0.35">
      <c r="A283" s="34" t="s">
        <v>405</v>
      </c>
      <c r="B283" s="206" t="s">
        <v>960</v>
      </c>
      <c r="C283" s="201" t="s">
        <v>964</v>
      </c>
    </row>
    <row r="284" spans="1:3" s="160" customFormat="1" ht="18" customHeight="1" x14ac:dyDescent="0.35">
      <c r="A284" s="34" t="s">
        <v>406</v>
      </c>
      <c r="B284" s="206" t="s">
        <v>960</v>
      </c>
      <c r="C284" s="201" t="s">
        <v>965</v>
      </c>
    </row>
    <row r="285" spans="1:3" s="160" customFormat="1" ht="18" customHeight="1" x14ac:dyDescent="0.35">
      <c r="A285" s="34" t="s">
        <v>407</v>
      </c>
      <c r="B285" s="206" t="s">
        <v>960</v>
      </c>
      <c r="C285" s="201" t="s">
        <v>966</v>
      </c>
    </row>
    <row r="286" spans="1:3" s="160" customFormat="1" ht="18" customHeight="1" x14ac:dyDescent="0.35">
      <c r="A286" s="34" t="s">
        <v>408</v>
      </c>
      <c r="B286" s="206" t="s">
        <v>960</v>
      </c>
      <c r="C286" s="201" t="s">
        <v>967</v>
      </c>
    </row>
    <row r="287" spans="1:3" s="160" customFormat="1" ht="18" customHeight="1" x14ac:dyDescent="0.35">
      <c r="A287" s="34" t="s">
        <v>409</v>
      </c>
      <c r="B287" s="206" t="s">
        <v>960</v>
      </c>
      <c r="C287" s="201" t="s">
        <v>968</v>
      </c>
    </row>
    <row r="288" spans="1:3" s="160" customFormat="1" ht="18" customHeight="1" x14ac:dyDescent="0.35">
      <c r="A288" s="34" t="s">
        <v>410</v>
      </c>
      <c r="B288" s="206" t="s">
        <v>960</v>
      </c>
      <c r="C288" s="201" t="s">
        <v>969</v>
      </c>
    </row>
    <row r="289" spans="1:3" s="160" customFormat="1" ht="18" customHeight="1" x14ac:dyDescent="0.35">
      <c r="A289" s="34" t="s">
        <v>411</v>
      </c>
      <c r="B289" s="206" t="s">
        <v>960</v>
      </c>
      <c r="C289" s="201" t="s">
        <v>970</v>
      </c>
    </row>
    <row r="290" spans="1:3" s="160" customFormat="1" ht="23" customHeight="1" x14ac:dyDescent="0.35">
      <c r="A290" s="34" t="s">
        <v>412</v>
      </c>
      <c r="B290" s="206" t="s">
        <v>960</v>
      </c>
      <c r="C290" s="201" t="s">
        <v>971</v>
      </c>
    </row>
    <row r="291" spans="1:3" s="160" customFormat="1" ht="18" customHeight="1" x14ac:dyDescent="0.35">
      <c r="A291" s="34" t="s">
        <v>413</v>
      </c>
      <c r="B291" s="206" t="s">
        <v>960</v>
      </c>
      <c r="C291" s="201" t="s">
        <v>972</v>
      </c>
    </row>
    <row r="292" spans="1:3" s="160" customFormat="1" ht="24" customHeight="1" x14ac:dyDescent="0.35">
      <c r="A292" s="34" t="s">
        <v>414</v>
      </c>
      <c r="B292" s="206" t="s">
        <v>960</v>
      </c>
      <c r="C292" s="201" t="s">
        <v>973</v>
      </c>
    </row>
    <row r="293" spans="1:3" s="160" customFormat="1" ht="18" customHeight="1" x14ac:dyDescent="0.35">
      <c r="A293" s="34" t="s">
        <v>415</v>
      </c>
      <c r="B293" s="206" t="s">
        <v>960</v>
      </c>
      <c r="C293" s="201" t="s">
        <v>974</v>
      </c>
    </row>
    <row r="294" spans="1:3" s="160" customFormat="1" ht="18" customHeight="1" x14ac:dyDescent="0.35">
      <c r="A294" s="34" t="s">
        <v>416</v>
      </c>
      <c r="B294" s="206" t="s">
        <v>960</v>
      </c>
      <c r="C294" s="201" t="s">
        <v>975</v>
      </c>
    </row>
    <row r="295" spans="1:3" s="160" customFormat="1" ht="35" customHeight="1" x14ac:dyDescent="0.35">
      <c r="A295" s="34" t="s">
        <v>417</v>
      </c>
      <c r="B295" s="206" t="s">
        <v>960</v>
      </c>
      <c r="C295" s="201" t="s">
        <v>976</v>
      </c>
    </row>
    <row r="296" spans="1:3" s="160" customFormat="1" ht="18" customHeight="1" x14ac:dyDescent="0.35">
      <c r="A296" s="34" t="s">
        <v>418</v>
      </c>
      <c r="B296" s="206" t="s">
        <v>960</v>
      </c>
      <c r="C296" s="201" t="s">
        <v>977</v>
      </c>
    </row>
    <row r="297" spans="1:3" s="160" customFormat="1" ht="18" customHeight="1" x14ac:dyDescent="0.35">
      <c r="A297" s="34" t="s">
        <v>419</v>
      </c>
      <c r="B297" s="206" t="s">
        <v>960</v>
      </c>
      <c r="C297" s="201" t="s">
        <v>978</v>
      </c>
    </row>
    <row r="298" spans="1:3" s="160" customFormat="1" ht="26" customHeight="1" x14ac:dyDescent="0.35">
      <c r="A298" s="34" t="s">
        <v>420</v>
      </c>
      <c r="B298" s="206" t="s">
        <v>960</v>
      </c>
      <c r="C298" s="201" t="s">
        <v>979</v>
      </c>
    </row>
    <row r="299" spans="1:3" s="160" customFormat="1" ht="18" customHeight="1" x14ac:dyDescent="0.35">
      <c r="A299" s="34" t="s">
        <v>421</v>
      </c>
      <c r="B299" s="206" t="s">
        <v>960</v>
      </c>
      <c r="C299" s="201" t="s">
        <v>980</v>
      </c>
    </row>
    <row r="300" spans="1:3" s="160" customFormat="1" ht="18" customHeight="1" x14ac:dyDescent="0.35">
      <c r="A300" s="34" t="s">
        <v>422</v>
      </c>
      <c r="B300" s="206" t="s">
        <v>960</v>
      </c>
      <c r="C300" s="201" t="s">
        <v>981</v>
      </c>
    </row>
    <row r="301" spans="1:3" s="160" customFormat="1" ht="18" customHeight="1" x14ac:dyDescent="0.35">
      <c r="A301" s="34" t="s">
        <v>423</v>
      </c>
      <c r="B301" s="206" t="s">
        <v>960</v>
      </c>
      <c r="C301" s="201" t="s">
        <v>982</v>
      </c>
    </row>
    <row r="302" spans="1:3" s="160" customFormat="1" ht="18" customHeight="1" x14ac:dyDescent="0.35">
      <c r="A302" s="34" t="s">
        <v>424</v>
      </c>
      <c r="B302" s="206" t="s">
        <v>960</v>
      </c>
      <c r="C302" s="201" t="s">
        <v>983</v>
      </c>
    </row>
    <row r="303" spans="1:3" s="160" customFormat="1" ht="18" customHeight="1" x14ac:dyDescent="0.35">
      <c r="A303" s="34" t="s">
        <v>425</v>
      </c>
      <c r="B303" s="206" t="s">
        <v>960</v>
      </c>
      <c r="C303" s="201" t="s">
        <v>984</v>
      </c>
    </row>
    <row r="304" spans="1:3" s="160" customFormat="1" ht="18" customHeight="1" x14ac:dyDescent="0.35">
      <c r="A304" s="34" t="s">
        <v>426</v>
      </c>
      <c r="B304" s="206" t="s">
        <v>960</v>
      </c>
      <c r="C304" s="201" t="s">
        <v>985</v>
      </c>
    </row>
    <row r="305" spans="1:3" s="160" customFormat="1" ht="24" customHeight="1" x14ac:dyDescent="0.35">
      <c r="A305" s="34" t="s">
        <v>429</v>
      </c>
      <c r="B305" s="206" t="s">
        <v>986</v>
      </c>
      <c r="C305" s="201" t="s">
        <v>987</v>
      </c>
    </row>
    <row r="306" spans="1:3" s="160" customFormat="1" ht="24" customHeight="1" x14ac:dyDescent="0.35">
      <c r="A306" s="34" t="s">
        <v>430</v>
      </c>
      <c r="B306" s="206" t="s">
        <v>986</v>
      </c>
      <c r="C306" s="201" t="s">
        <v>988</v>
      </c>
    </row>
    <row r="307" spans="1:3" s="160" customFormat="1" ht="24" customHeight="1" x14ac:dyDescent="0.35">
      <c r="A307" s="34" t="s">
        <v>432</v>
      </c>
      <c r="B307" s="206" t="s">
        <v>986</v>
      </c>
      <c r="C307" s="201" t="s">
        <v>989</v>
      </c>
    </row>
    <row r="308" spans="1:3" s="160" customFormat="1" ht="24" customHeight="1" x14ac:dyDescent="0.35">
      <c r="A308" s="34" t="s">
        <v>433</v>
      </c>
      <c r="B308" s="206" t="s">
        <v>986</v>
      </c>
      <c r="C308" s="201" t="s">
        <v>990</v>
      </c>
    </row>
    <row r="309" spans="1:3" s="160" customFormat="1" ht="24" customHeight="1" x14ac:dyDescent="0.35">
      <c r="A309" s="34" t="s">
        <v>434</v>
      </c>
      <c r="B309" s="206" t="s">
        <v>986</v>
      </c>
      <c r="C309" s="201" t="s">
        <v>991</v>
      </c>
    </row>
    <row r="310" spans="1:3" s="160" customFormat="1" ht="31" customHeight="1" x14ac:dyDescent="0.35">
      <c r="A310" s="34" t="s">
        <v>435</v>
      </c>
      <c r="B310" s="206" t="s">
        <v>986</v>
      </c>
      <c r="C310" s="201" t="s">
        <v>992</v>
      </c>
    </row>
    <row r="311" spans="1:3" s="160" customFormat="1" ht="32" customHeight="1" x14ac:dyDescent="0.35">
      <c r="A311" s="34" t="s">
        <v>436</v>
      </c>
      <c r="B311" s="206" t="s">
        <v>986</v>
      </c>
      <c r="C311" s="201" t="s">
        <v>993</v>
      </c>
    </row>
    <row r="312" spans="1:3" s="160" customFormat="1" ht="24" customHeight="1" x14ac:dyDescent="0.35">
      <c r="A312" s="34" t="s">
        <v>437</v>
      </c>
      <c r="B312" s="206" t="s">
        <v>986</v>
      </c>
      <c r="C312" s="201" t="s">
        <v>994</v>
      </c>
    </row>
    <row r="313" spans="1:3" s="160" customFormat="1" ht="24" customHeight="1" x14ac:dyDescent="0.35">
      <c r="A313" s="34" t="s">
        <v>440</v>
      </c>
      <c r="B313" s="206" t="s">
        <v>986</v>
      </c>
      <c r="C313" s="209" t="s">
        <v>995</v>
      </c>
    </row>
    <row r="314" spans="1:3" s="160" customFormat="1" ht="18" customHeight="1" x14ac:dyDescent="0.35">
      <c r="A314" s="34" t="s">
        <v>442</v>
      </c>
      <c r="B314" s="206" t="s">
        <v>986</v>
      </c>
      <c r="C314" s="201" t="s">
        <v>996</v>
      </c>
    </row>
    <row r="315" spans="1:3" s="160" customFormat="1" ht="18" customHeight="1" x14ac:dyDescent="0.35">
      <c r="A315" s="34" t="s">
        <v>443</v>
      </c>
      <c r="B315" s="206" t="s">
        <v>986</v>
      </c>
      <c r="C315" s="201" t="s">
        <v>997</v>
      </c>
    </row>
    <row r="316" spans="1:3" s="160" customFormat="1" ht="18" customHeight="1" x14ac:dyDescent="0.35">
      <c r="A316" s="34" t="s">
        <v>444</v>
      </c>
      <c r="B316" s="206" t="s">
        <v>986</v>
      </c>
      <c r="C316" s="201" t="s">
        <v>998</v>
      </c>
    </row>
    <row r="317" spans="1:3" s="160" customFormat="1" ht="18" customHeight="1" x14ac:dyDescent="0.35">
      <c r="A317" s="34" t="s">
        <v>445</v>
      </c>
      <c r="B317" s="206" t="s">
        <v>986</v>
      </c>
      <c r="C317" s="201" t="s">
        <v>999</v>
      </c>
    </row>
    <row r="318" spans="1:3" s="160" customFormat="1" ht="18" customHeight="1" x14ac:dyDescent="0.35">
      <c r="A318" s="34" t="s">
        <v>448</v>
      </c>
      <c r="B318" s="206" t="s">
        <v>1000</v>
      </c>
      <c r="C318" s="201" t="s">
        <v>1001</v>
      </c>
    </row>
    <row r="319" spans="1:3" s="160" customFormat="1" ht="24" customHeight="1" x14ac:dyDescent="0.35">
      <c r="A319" s="34" t="s">
        <v>449</v>
      </c>
      <c r="B319" s="206" t="s">
        <v>1000</v>
      </c>
      <c r="C319" s="201" t="s">
        <v>1002</v>
      </c>
    </row>
    <row r="320" spans="1:3" s="160" customFormat="1" ht="24" customHeight="1" x14ac:dyDescent="0.35">
      <c r="A320" s="34" t="s">
        <v>450</v>
      </c>
      <c r="B320" s="206" t="s">
        <v>1000</v>
      </c>
      <c r="C320" s="201" t="s">
        <v>1003</v>
      </c>
    </row>
    <row r="321" spans="1:3" s="160" customFormat="1" ht="24" customHeight="1" x14ac:dyDescent="0.35">
      <c r="A321" s="34" t="s">
        <v>451</v>
      </c>
      <c r="B321" s="206" t="s">
        <v>1000</v>
      </c>
      <c r="C321" s="202" t="s">
        <v>1004</v>
      </c>
    </row>
    <row r="322" spans="1:3" s="160" customFormat="1" ht="18" customHeight="1" x14ac:dyDescent="0.35">
      <c r="A322" s="34" t="s">
        <v>452</v>
      </c>
      <c r="B322" s="206" t="s">
        <v>1000</v>
      </c>
      <c r="C322" s="209" t="s">
        <v>1005</v>
      </c>
    </row>
    <row r="323" spans="1:3" s="160" customFormat="1" ht="18" customHeight="1" x14ac:dyDescent="0.35">
      <c r="A323" s="34" t="s">
        <v>453</v>
      </c>
      <c r="B323" s="206" t="s">
        <v>1000</v>
      </c>
      <c r="C323" s="209" t="s">
        <v>1006</v>
      </c>
    </row>
    <row r="324" spans="1:3" s="160" customFormat="1" ht="25" customHeight="1" x14ac:dyDescent="0.35">
      <c r="A324" s="34" t="s">
        <v>454</v>
      </c>
      <c r="B324" s="206" t="s">
        <v>1000</v>
      </c>
      <c r="C324" s="209" t="s">
        <v>1007</v>
      </c>
    </row>
    <row r="325" spans="1:3" s="160" customFormat="1" ht="18" customHeight="1" x14ac:dyDescent="0.35">
      <c r="A325" s="34" t="s">
        <v>455</v>
      </c>
      <c r="B325" s="206" t="s">
        <v>1000</v>
      </c>
      <c r="C325" s="209" t="s">
        <v>1008</v>
      </c>
    </row>
    <row r="326" spans="1:3" s="160" customFormat="1" ht="18" customHeight="1" x14ac:dyDescent="0.35">
      <c r="A326" s="34" t="s">
        <v>456</v>
      </c>
      <c r="B326" s="206" t="s">
        <v>1000</v>
      </c>
      <c r="C326" s="209" t="s">
        <v>1009</v>
      </c>
    </row>
    <row r="327" spans="1:3" s="160" customFormat="1" ht="18" customHeight="1" x14ac:dyDescent="0.35">
      <c r="A327" s="34" t="s">
        <v>457</v>
      </c>
      <c r="B327" s="206" t="s">
        <v>1000</v>
      </c>
      <c r="C327" s="209" t="s">
        <v>1010</v>
      </c>
    </row>
    <row r="328" spans="1:3" s="160" customFormat="1" ht="18" customHeight="1" x14ac:dyDescent="0.35">
      <c r="A328" s="34" t="s">
        <v>458</v>
      </c>
      <c r="B328" s="206" t="s">
        <v>1000</v>
      </c>
      <c r="C328" s="209" t="s">
        <v>1011</v>
      </c>
    </row>
    <row r="329" spans="1:3" s="160" customFormat="1" ht="18" customHeight="1" x14ac:dyDescent="0.35">
      <c r="A329" s="136" t="s">
        <v>459</v>
      </c>
      <c r="B329" s="207" t="s">
        <v>1000</v>
      </c>
      <c r="C329" s="212" t="s">
        <v>1012</v>
      </c>
    </row>
    <row r="330" spans="1:3" s="160" customFormat="1" ht="18" customHeight="1" x14ac:dyDescent="0.35">
      <c r="A330" s="34" t="s">
        <v>460</v>
      </c>
      <c r="B330" s="206" t="s">
        <v>275</v>
      </c>
      <c r="C330" s="209" t="s">
        <v>1013</v>
      </c>
    </row>
    <row r="331" spans="1:3" s="160" customFormat="1" ht="18" customHeight="1" x14ac:dyDescent="0.35">
      <c r="A331" s="34" t="s">
        <v>464</v>
      </c>
      <c r="B331" s="206" t="s">
        <v>1014</v>
      </c>
      <c r="C331" s="209" t="s">
        <v>1015</v>
      </c>
    </row>
    <row r="332" spans="1:3" s="160" customFormat="1" ht="18" customHeight="1" x14ac:dyDescent="0.35">
      <c r="A332" s="34" t="s">
        <v>465</v>
      </c>
      <c r="B332" s="206" t="s">
        <v>1014</v>
      </c>
      <c r="C332" s="209" t="s">
        <v>1016</v>
      </c>
    </row>
    <row r="333" spans="1:3" s="160" customFormat="1" ht="18" customHeight="1" x14ac:dyDescent="0.35">
      <c r="A333" s="34" t="s">
        <v>466</v>
      </c>
      <c r="B333" s="206" t="s">
        <v>1014</v>
      </c>
      <c r="C333" s="209" t="s">
        <v>1017</v>
      </c>
    </row>
    <row r="334" spans="1:3" s="160" customFormat="1" ht="18" customHeight="1" x14ac:dyDescent="0.35">
      <c r="A334" s="34" t="s">
        <v>467</v>
      </c>
      <c r="B334" s="206" t="s">
        <v>1014</v>
      </c>
      <c r="C334" s="209" t="s">
        <v>1018</v>
      </c>
    </row>
    <row r="335" spans="1:3" s="160" customFormat="1" ht="18" customHeight="1" x14ac:dyDescent="0.35">
      <c r="A335" s="34" t="s">
        <v>468</v>
      </c>
      <c r="B335" s="206" t="s">
        <v>1014</v>
      </c>
      <c r="C335" s="209" t="s">
        <v>1019</v>
      </c>
    </row>
    <row r="336" spans="1:3" s="160" customFormat="1" ht="18" customHeight="1" x14ac:dyDescent="0.35">
      <c r="A336" s="34" t="s">
        <v>469</v>
      </c>
      <c r="B336" s="206" t="s">
        <v>1014</v>
      </c>
      <c r="C336" s="209" t="s">
        <v>1020</v>
      </c>
    </row>
    <row r="337" spans="1:3" s="160" customFormat="1" ht="18" customHeight="1" x14ac:dyDescent="0.35">
      <c r="A337" s="34" t="s">
        <v>470</v>
      </c>
      <c r="B337" s="206" t="s">
        <v>1014</v>
      </c>
      <c r="C337" s="209" t="s">
        <v>1021</v>
      </c>
    </row>
    <row r="338" spans="1:3" s="160" customFormat="1" ht="18" customHeight="1" x14ac:dyDescent="0.35">
      <c r="A338" s="34" t="s">
        <v>472</v>
      </c>
      <c r="B338" s="206" t="s">
        <v>1014</v>
      </c>
      <c r="C338" s="209" t="s">
        <v>1022</v>
      </c>
    </row>
    <row r="339" spans="1:3" s="160" customFormat="1" ht="18" customHeight="1" x14ac:dyDescent="0.35">
      <c r="A339" s="34" t="s">
        <v>474</v>
      </c>
      <c r="B339" s="206" t="s">
        <v>1023</v>
      </c>
      <c r="C339" s="209" t="s">
        <v>1024</v>
      </c>
    </row>
    <row r="340" spans="1:3" s="160" customFormat="1" ht="18" customHeight="1" x14ac:dyDescent="0.35">
      <c r="A340" s="34" t="s">
        <v>475</v>
      </c>
      <c r="B340" s="206" t="s">
        <v>1023</v>
      </c>
      <c r="C340" s="209" t="s">
        <v>1025</v>
      </c>
    </row>
    <row r="341" spans="1:3" s="160" customFormat="1" ht="18" customHeight="1" x14ac:dyDescent="0.35">
      <c r="A341" s="34" t="s">
        <v>476</v>
      </c>
      <c r="B341" s="206" t="s">
        <v>1023</v>
      </c>
      <c r="C341" s="209" t="s">
        <v>1026</v>
      </c>
    </row>
    <row r="342" spans="1:3" s="160" customFormat="1" ht="18" customHeight="1" x14ac:dyDescent="0.35">
      <c r="A342" s="34" t="s">
        <v>477</v>
      </c>
      <c r="B342" s="206" t="s">
        <v>1023</v>
      </c>
      <c r="C342" s="209" t="s">
        <v>1027</v>
      </c>
    </row>
    <row r="343" spans="1:3" s="160" customFormat="1" ht="18" customHeight="1" x14ac:dyDescent="0.35">
      <c r="A343" s="34" t="s">
        <v>478</v>
      </c>
      <c r="B343" s="206" t="s">
        <v>1023</v>
      </c>
      <c r="C343" s="209" t="s">
        <v>1028</v>
      </c>
    </row>
    <row r="344" spans="1:3" s="160" customFormat="1" ht="18" customHeight="1" x14ac:dyDescent="0.35">
      <c r="A344" s="34" t="s">
        <v>479</v>
      </c>
      <c r="B344" s="206" t="s">
        <v>1023</v>
      </c>
      <c r="C344" s="209" t="s">
        <v>1029</v>
      </c>
    </row>
    <row r="345" spans="1:3" s="160" customFormat="1" ht="18" customHeight="1" x14ac:dyDescent="0.35">
      <c r="A345" s="34" t="s">
        <v>480</v>
      </c>
      <c r="B345" s="206" t="s">
        <v>1023</v>
      </c>
      <c r="C345" s="209" t="s">
        <v>1030</v>
      </c>
    </row>
    <row r="346" spans="1:3" s="160" customFormat="1" ht="26" customHeight="1" x14ac:dyDescent="0.35">
      <c r="A346" s="34" t="s">
        <v>481</v>
      </c>
      <c r="B346" s="206" t="s">
        <v>1023</v>
      </c>
      <c r="C346" s="209" t="s">
        <v>1031</v>
      </c>
    </row>
    <row r="347" spans="1:3" s="160" customFormat="1" ht="18" customHeight="1" x14ac:dyDescent="0.35">
      <c r="A347" s="34" t="s">
        <v>482</v>
      </c>
      <c r="B347" s="206" t="s">
        <v>1023</v>
      </c>
      <c r="C347" s="209" t="s">
        <v>1032</v>
      </c>
    </row>
    <row r="348" spans="1:3" s="160" customFormat="1" ht="18" customHeight="1" x14ac:dyDescent="0.35">
      <c r="A348" s="34" t="s">
        <v>483</v>
      </c>
      <c r="B348" s="206" t="s">
        <v>1023</v>
      </c>
      <c r="C348" s="209" t="s">
        <v>1033</v>
      </c>
    </row>
    <row r="349" spans="1:3" s="160" customFormat="1" ht="18" customHeight="1" x14ac:dyDescent="0.35">
      <c r="A349" s="34" t="s">
        <v>484</v>
      </c>
      <c r="B349" s="206" t="s">
        <v>1023</v>
      </c>
      <c r="C349" s="209" t="s">
        <v>1034</v>
      </c>
    </row>
    <row r="350" spans="1:3" s="160" customFormat="1" ht="18" customHeight="1" x14ac:dyDescent="0.35">
      <c r="A350" s="34" t="s">
        <v>485</v>
      </c>
      <c r="B350" s="206" t="s">
        <v>1023</v>
      </c>
      <c r="C350" s="209" t="s">
        <v>1035</v>
      </c>
    </row>
    <row r="351" spans="1:3" s="160" customFormat="1" ht="29" customHeight="1" x14ac:dyDescent="0.35">
      <c r="A351" s="34" t="s">
        <v>488</v>
      </c>
      <c r="B351" s="206" t="s">
        <v>1036</v>
      </c>
      <c r="C351" s="209" t="s">
        <v>1037</v>
      </c>
    </row>
    <row r="352" spans="1:3" s="160" customFormat="1" ht="29" customHeight="1" x14ac:dyDescent="0.35">
      <c r="A352" s="34" t="s">
        <v>489</v>
      </c>
      <c r="B352" s="206" t="s">
        <v>1036</v>
      </c>
      <c r="C352" s="209" t="s">
        <v>1038</v>
      </c>
    </row>
    <row r="353" spans="1:3" s="160" customFormat="1" ht="18" customHeight="1" x14ac:dyDescent="0.35">
      <c r="A353" s="34" t="s">
        <v>490</v>
      </c>
      <c r="B353" s="206" t="s">
        <v>1036</v>
      </c>
      <c r="C353" s="209" t="s">
        <v>1039</v>
      </c>
    </row>
    <row r="354" spans="1:3" s="160" customFormat="1" ht="18" customHeight="1" x14ac:dyDescent="0.35">
      <c r="A354" s="34" t="s">
        <v>491</v>
      </c>
      <c r="B354" s="206" t="s">
        <v>1036</v>
      </c>
      <c r="C354" s="209" t="s">
        <v>1040</v>
      </c>
    </row>
    <row r="355" spans="1:3" s="160" customFormat="1" ht="18" customHeight="1" x14ac:dyDescent="0.35">
      <c r="A355" s="34" t="s">
        <v>492</v>
      </c>
      <c r="B355" s="206" t="s">
        <v>1036</v>
      </c>
      <c r="C355" s="209" t="s">
        <v>1041</v>
      </c>
    </row>
    <row r="356" spans="1:3" s="160" customFormat="1" ht="18" customHeight="1" x14ac:dyDescent="0.35">
      <c r="A356" s="34" t="s">
        <v>493</v>
      </c>
      <c r="B356" s="206" t="s">
        <v>1036</v>
      </c>
      <c r="C356" s="209" t="s">
        <v>1042</v>
      </c>
    </row>
    <row r="357" spans="1:3" s="160" customFormat="1" ht="18" customHeight="1" x14ac:dyDescent="0.35">
      <c r="A357" s="34" t="s">
        <v>494</v>
      </c>
      <c r="B357" s="206" t="s">
        <v>1036</v>
      </c>
      <c r="C357" s="209" t="s">
        <v>1043</v>
      </c>
    </row>
    <row r="358" spans="1:3" s="160" customFormat="1" ht="18" customHeight="1" x14ac:dyDescent="0.35">
      <c r="A358" s="34" t="s">
        <v>497</v>
      </c>
      <c r="B358" s="206" t="s">
        <v>1044</v>
      </c>
      <c r="C358" s="209" t="s">
        <v>1045</v>
      </c>
    </row>
    <row r="359" spans="1:3" s="160" customFormat="1" ht="25" customHeight="1" x14ac:dyDescent="0.35">
      <c r="A359" s="34" t="s">
        <v>498</v>
      </c>
      <c r="B359" s="206" t="s">
        <v>1044</v>
      </c>
      <c r="C359" s="209" t="s">
        <v>1046</v>
      </c>
    </row>
    <row r="360" spans="1:3" s="160" customFormat="1" ht="26" customHeight="1" x14ac:dyDescent="0.35">
      <c r="A360" s="34" t="s">
        <v>499</v>
      </c>
      <c r="B360" s="206" t="s">
        <v>1044</v>
      </c>
      <c r="C360" s="209" t="s">
        <v>1047</v>
      </c>
    </row>
    <row r="361" spans="1:3" s="160" customFormat="1" ht="26" customHeight="1" x14ac:dyDescent="0.35">
      <c r="A361" s="34" t="s">
        <v>500</v>
      </c>
      <c r="B361" s="206" t="s">
        <v>1044</v>
      </c>
      <c r="C361" s="209" t="s">
        <v>1048</v>
      </c>
    </row>
    <row r="362" spans="1:3" s="160" customFormat="1" ht="18" customHeight="1" x14ac:dyDescent="0.35">
      <c r="A362" s="34" t="s">
        <v>501</v>
      </c>
      <c r="B362" s="206" t="s">
        <v>275</v>
      </c>
      <c r="C362" s="209" t="s">
        <v>1049</v>
      </c>
    </row>
    <row r="363" spans="1:3" s="160" customFormat="1" ht="18" customHeight="1" x14ac:dyDescent="0.35">
      <c r="A363" s="88" t="s">
        <v>504</v>
      </c>
      <c r="B363" s="206" t="s">
        <v>1050</v>
      </c>
      <c r="C363" s="201" t="s">
        <v>1051</v>
      </c>
    </row>
    <row r="364" spans="1:3" s="160" customFormat="1" ht="18" customHeight="1" x14ac:dyDescent="0.35">
      <c r="A364" s="34" t="s">
        <v>505</v>
      </c>
      <c r="B364" s="206" t="s">
        <v>1050</v>
      </c>
      <c r="C364" s="209" t="s">
        <v>1052</v>
      </c>
    </row>
    <row r="365" spans="1:3" s="160" customFormat="1" ht="18" customHeight="1" x14ac:dyDescent="0.35">
      <c r="A365" s="136" t="s">
        <v>507</v>
      </c>
      <c r="B365" s="207" t="s">
        <v>1050</v>
      </c>
      <c r="C365" s="212" t="s">
        <v>1053</v>
      </c>
    </row>
    <row r="366" spans="1:3" s="160" customFormat="1" ht="18" customHeight="1" x14ac:dyDescent="0.35">
      <c r="A366" s="34" t="s">
        <v>508</v>
      </c>
      <c r="B366" s="206" t="s">
        <v>1050</v>
      </c>
      <c r="C366" s="209" t="s">
        <v>1054</v>
      </c>
    </row>
    <row r="367" spans="1:3" s="160" customFormat="1" ht="18" customHeight="1" x14ac:dyDescent="0.35">
      <c r="A367" s="136" t="s">
        <v>509</v>
      </c>
      <c r="B367" s="207" t="s">
        <v>1050</v>
      </c>
      <c r="C367" s="212" t="s">
        <v>1055</v>
      </c>
    </row>
    <row r="368" spans="1:3" s="160" customFormat="1" ht="18" customHeight="1" x14ac:dyDescent="0.35">
      <c r="A368" s="88" t="s">
        <v>510</v>
      </c>
      <c r="B368" s="206" t="s">
        <v>1050</v>
      </c>
      <c r="C368" s="209" t="s">
        <v>1056</v>
      </c>
    </row>
    <row r="369" spans="1:3" s="160" customFormat="1" ht="18" customHeight="1" x14ac:dyDescent="0.35">
      <c r="A369" s="34" t="s">
        <v>511</v>
      </c>
      <c r="B369" s="206" t="s">
        <v>1050</v>
      </c>
      <c r="C369" s="209" t="s">
        <v>1057</v>
      </c>
    </row>
    <row r="370" spans="1:3" s="160" customFormat="1" ht="18" customHeight="1" x14ac:dyDescent="0.35">
      <c r="A370" s="34" t="s">
        <v>512</v>
      </c>
      <c r="B370" s="206" t="s">
        <v>1050</v>
      </c>
      <c r="C370" s="209" t="s">
        <v>1058</v>
      </c>
    </row>
    <row r="371" spans="1:3" s="160" customFormat="1" ht="18" customHeight="1" x14ac:dyDescent="0.35">
      <c r="A371" s="88" t="s">
        <v>514</v>
      </c>
      <c r="B371" s="206" t="s">
        <v>1050</v>
      </c>
      <c r="C371" s="209" t="s">
        <v>1059</v>
      </c>
    </row>
    <row r="372" spans="1:3" s="160" customFormat="1" ht="18" customHeight="1" x14ac:dyDescent="0.35">
      <c r="A372" s="34" t="s">
        <v>515</v>
      </c>
      <c r="B372" s="206" t="s">
        <v>1050</v>
      </c>
      <c r="C372" s="209" t="s">
        <v>1060</v>
      </c>
    </row>
    <row r="373" spans="1:3" s="160" customFormat="1" ht="18" customHeight="1" x14ac:dyDescent="0.35">
      <c r="A373" s="34" t="s">
        <v>516</v>
      </c>
      <c r="B373" s="206" t="s">
        <v>1050</v>
      </c>
      <c r="C373" s="209" t="s">
        <v>1061</v>
      </c>
    </row>
    <row r="374" spans="1:3" s="160" customFormat="1" ht="18" customHeight="1" x14ac:dyDescent="0.35">
      <c r="A374" s="88" t="s">
        <v>517</v>
      </c>
      <c r="B374" s="206" t="s">
        <v>1050</v>
      </c>
      <c r="C374" s="209" t="s">
        <v>1062</v>
      </c>
    </row>
    <row r="375" spans="1:3" s="160" customFormat="1" ht="18" customHeight="1" x14ac:dyDescent="0.35">
      <c r="A375" s="34" t="s">
        <v>518</v>
      </c>
      <c r="B375" s="206" t="s">
        <v>1050</v>
      </c>
      <c r="C375" s="209" t="s">
        <v>1063</v>
      </c>
    </row>
    <row r="376" spans="1:3" s="160" customFormat="1" ht="18" customHeight="1" x14ac:dyDescent="0.35">
      <c r="A376" s="34" t="s">
        <v>519</v>
      </c>
      <c r="B376" s="206" t="s">
        <v>1050</v>
      </c>
      <c r="C376" s="209" t="s">
        <v>1064</v>
      </c>
    </row>
    <row r="377" spans="1:3" s="160" customFormat="1" ht="18" customHeight="1" x14ac:dyDescent="0.35">
      <c r="A377" s="88" t="s">
        <v>520</v>
      </c>
      <c r="B377" s="206" t="s">
        <v>1050</v>
      </c>
      <c r="C377" s="209" t="s">
        <v>1065</v>
      </c>
    </row>
    <row r="378" spans="1:3" s="160" customFormat="1" ht="18" customHeight="1" x14ac:dyDescent="0.35">
      <c r="A378" s="34" t="s">
        <v>521</v>
      </c>
      <c r="B378" s="206" t="s">
        <v>1050</v>
      </c>
      <c r="C378" s="209" t="s">
        <v>1066</v>
      </c>
    </row>
    <row r="379" spans="1:3" s="160" customFormat="1" ht="18" customHeight="1" x14ac:dyDescent="0.35">
      <c r="A379" s="34" t="s">
        <v>522</v>
      </c>
      <c r="B379" s="206" t="s">
        <v>1050</v>
      </c>
      <c r="C379" s="209" t="s">
        <v>1067</v>
      </c>
    </row>
    <row r="380" spans="1:3" s="160" customFormat="1" ht="18" customHeight="1" x14ac:dyDescent="0.35">
      <c r="A380" s="88" t="s">
        <v>523</v>
      </c>
      <c r="B380" s="206" t="s">
        <v>1050</v>
      </c>
      <c r="C380" s="209" t="s">
        <v>1068</v>
      </c>
    </row>
    <row r="381" spans="1:3" s="160" customFormat="1" ht="18" customHeight="1" x14ac:dyDescent="0.35">
      <c r="A381" s="34" t="s">
        <v>524</v>
      </c>
      <c r="B381" s="206" t="s">
        <v>1050</v>
      </c>
      <c r="C381" s="209" t="s">
        <v>1069</v>
      </c>
    </row>
    <row r="382" spans="1:3" s="160" customFormat="1" ht="18" customHeight="1" x14ac:dyDescent="0.35">
      <c r="A382" s="34" t="s">
        <v>525</v>
      </c>
      <c r="B382" s="206" t="s">
        <v>1050</v>
      </c>
      <c r="C382" s="209" t="s">
        <v>1070</v>
      </c>
    </row>
    <row r="383" spans="1:3" s="160" customFormat="1" ht="18" customHeight="1" x14ac:dyDescent="0.35">
      <c r="A383" s="88" t="s">
        <v>526</v>
      </c>
      <c r="B383" s="206" t="s">
        <v>275</v>
      </c>
      <c r="C383" s="209" t="s">
        <v>1071</v>
      </c>
    </row>
    <row r="384" spans="1:3" ht="18" customHeight="1" x14ac:dyDescent="0.3">
      <c r="A384" s="215"/>
    </row>
    <row r="385" spans="1:1" ht="18" customHeight="1" x14ac:dyDescent="0.35"/>
    <row r="386" spans="1:1" ht="18" customHeight="1" x14ac:dyDescent="0.35">
      <c r="A386" s="9"/>
    </row>
    <row r="387" spans="1:1" ht="18" customHeight="1" x14ac:dyDescent="0.35">
      <c r="A387" s="9"/>
    </row>
    <row r="388" spans="1:1" ht="18" customHeight="1" x14ac:dyDescent="0.35">
      <c r="A388" s="9"/>
    </row>
    <row r="389" spans="1:1" ht="18" customHeight="1" x14ac:dyDescent="0.35">
      <c r="A389" s="9"/>
    </row>
    <row r="390" spans="1:1" ht="18" customHeight="1" x14ac:dyDescent="0.35">
      <c r="A390" s="9"/>
    </row>
    <row r="391" spans="1:1" ht="18" customHeight="1" x14ac:dyDescent="0.35">
      <c r="A391" s="9"/>
    </row>
    <row r="392" spans="1:1" ht="18" customHeight="1" x14ac:dyDescent="0.35">
      <c r="A392" s="9"/>
    </row>
    <row r="393" spans="1:1" ht="18" customHeight="1" x14ac:dyDescent="0.35">
      <c r="A393" s="9"/>
    </row>
    <row r="394" spans="1:1" ht="18" customHeight="1" x14ac:dyDescent="0.35">
      <c r="A394" s="9"/>
    </row>
    <row r="395" spans="1:1" ht="18" customHeight="1" x14ac:dyDescent="0.35">
      <c r="A395" s="9"/>
    </row>
    <row r="396" spans="1:1" ht="18" customHeight="1" x14ac:dyDescent="0.35">
      <c r="A396" s="9"/>
    </row>
    <row r="397" spans="1:1" ht="18" customHeight="1" x14ac:dyDescent="0.35">
      <c r="A397" s="9"/>
    </row>
    <row r="398" spans="1:1" ht="18" customHeight="1" x14ac:dyDescent="0.35">
      <c r="A398" s="9"/>
    </row>
    <row r="399" spans="1:1" ht="18" customHeight="1" x14ac:dyDescent="0.35">
      <c r="A399" s="9"/>
    </row>
    <row r="400" spans="1:1" ht="18" customHeight="1" x14ac:dyDescent="0.35">
      <c r="A400" s="9"/>
    </row>
    <row r="401" spans="1:1" ht="18" customHeight="1" x14ac:dyDescent="0.35">
      <c r="A401" s="9"/>
    </row>
    <row r="402" spans="1:1" ht="18" customHeight="1" x14ac:dyDescent="0.35">
      <c r="A402" s="10"/>
    </row>
    <row r="403" spans="1:1" ht="18" customHeight="1" x14ac:dyDescent="0.35"/>
    <row r="404" spans="1:1" ht="18" customHeight="1" x14ac:dyDescent="0.35"/>
    <row r="405" spans="1:1" ht="18" customHeight="1" x14ac:dyDescent="0.35"/>
    <row r="406" spans="1:1" ht="18" customHeight="1" x14ac:dyDescent="0.35"/>
    <row r="407" spans="1:1" ht="18" customHeight="1" x14ac:dyDescent="0.35"/>
    <row r="408" spans="1:1" ht="18" customHeight="1" x14ac:dyDescent="0.35"/>
    <row r="409" spans="1:1" ht="18" customHeight="1" x14ac:dyDescent="0.35"/>
    <row r="410" spans="1:1" ht="18" customHeight="1" x14ac:dyDescent="0.35"/>
    <row r="411" spans="1:1" ht="18" customHeight="1" x14ac:dyDescent="0.35"/>
    <row r="412" spans="1:1" ht="18" customHeight="1" x14ac:dyDescent="0.35"/>
    <row r="413" spans="1:1" ht="18" customHeight="1" x14ac:dyDescent="0.35"/>
    <row r="414" spans="1:1" ht="18" customHeight="1" x14ac:dyDescent="0.35"/>
    <row r="415" spans="1:1" ht="18" customHeight="1" x14ac:dyDescent="0.35"/>
    <row r="416" spans="1:1" ht="18" customHeight="1" x14ac:dyDescent="0.35"/>
    <row r="417" ht="18" customHeight="1" x14ac:dyDescent="0.35"/>
    <row r="418" ht="18" customHeight="1" x14ac:dyDescent="0.35"/>
    <row r="419" ht="18" customHeight="1" x14ac:dyDescent="0.35"/>
    <row r="420" ht="18" customHeight="1" x14ac:dyDescent="0.35"/>
    <row r="421" ht="18" customHeight="1" x14ac:dyDescent="0.35"/>
    <row r="422" ht="18" customHeight="1" x14ac:dyDescent="0.35"/>
    <row r="423" ht="18" customHeight="1" x14ac:dyDescent="0.35"/>
    <row r="424" ht="18" customHeight="1" x14ac:dyDescent="0.35"/>
    <row r="425" ht="14" customHeight="1" x14ac:dyDescent="0.35"/>
    <row r="426" ht="14" customHeight="1" x14ac:dyDescent="0.35"/>
    <row r="427" ht="14" customHeight="1" x14ac:dyDescent="0.35"/>
    <row r="428" ht="14" customHeight="1" x14ac:dyDescent="0.35"/>
    <row r="429" ht="14" customHeight="1" x14ac:dyDescent="0.35"/>
    <row r="430" ht="14" customHeight="1"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A0308-BCC1-4C55-B4C1-C8B92B476A9E}">
  <sheetPr>
    <tabColor rgb="FFFFFF00"/>
  </sheetPr>
  <dimension ref="D2:J18"/>
  <sheetViews>
    <sheetView tabSelected="1" topLeftCell="F1" workbookViewId="0">
      <selection activeCell="J3" sqref="J3"/>
    </sheetView>
  </sheetViews>
  <sheetFormatPr defaultColWidth="8.81640625" defaultRowHeight="14.5" x14ac:dyDescent="0.35"/>
  <cols>
    <col min="4" max="4" width="19.36328125" customWidth="1"/>
    <col min="5" max="5" width="17.453125" bestFit="1" customWidth="1"/>
    <col min="6" max="6" width="23" bestFit="1" customWidth="1"/>
    <col min="7" max="7" width="23.81640625" bestFit="1" customWidth="1"/>
    <col min="8" max="8" width="15.453125" bestFit="1" customWidth="1"/>
    <col min="9" max="9" width="15.453125" customWidth="1"/>
    <col min="10" max="10" width="89.08984375" style="303" customWidth="1"/>
  </cols>
  <sheetData>
    <row r="2" spans="4:10" s="246" customFormat="1" x14ac:dyDescent="0.35">
      <c r="D2" s="245" t="s">
        <v>1135</v>
      </c>
      <c r="E2" s="245" t="s">
        <v>1141</v>
      </c>
      <c r="F2" s="245" t="s">
        <v>1142</v>
      </c>
      <c r="G2" s="245" t="s">
        <v>1143</v>
      </c>
      <c r="H2" s="245" t="s">
        <v>22</v>
      </c>
      <c r="I2" s="245"/>
      <c r="J2" s="300" t="s">
        <v>1144</v>
      </c>
    </row>
    <row r="3" spans="4:10" ht="167.5" customHeight="1" x14ac:dyDescent="0.35">
      <c r="D3" s="63" t="s">
        <v>1136</v>
      </c>
      <c r="E3" s="243">
        <f>'2022-2023 Budget'!J215</f>
        <v>9842042.9990760013</v>
      </c>
      <c r="F3" s="243">
        <f>'2022-2023 Budget'!R215</f>
        <v>4260065.1228680108</v>
      </c>
      <c r="G3" s="243">
        <f>'2022-2023 Budget'!X215+'2022-2023 Budget'!Y215+'2022-2023 Budget'!W215+'2022-2023 Budget'!V215</f>
        <v>5387597.8500399999</v>
      </c>
      <c r="H3" s="244">
        <f>(F3+G3)/E3</f>
        <v>0.98025003282486778</v>
      </c>
      <c r="I3" s="254">
        <f>E3-(F3+G3)</f>
        <v>194380.02616799064</v>
      </c>
      <c r="J3" s="301" t="s">
        <v>1164</v>
      </c>
    </row>
    <row r="4" spans="4:10" ht="203" x14ac:dyDescent="0.35">
      <c r="D4" s="63" t="s">
        <v>1137</v>
      </c>
      <c r="E4" s="243">
        <f>'2022-2023 Budget'!J321</f>
        <v>3221530</v>
      </c>
      <c r="F4" s="243">
        <f>'2022-2023 Budget'!R321</f>
        <v>1313479.1654456093</v>
      </c>
      <c r="G4" s="243">
        <f>'2022-2023 Budget'!W321+'2022-2023 Budget'!X321+'2022-2023 Budget'!Y321+'2022-2023 Budget'!V321</f>
        <v>1689686.7949999999</v>
      </c>
      <c r="H4" s="244">
        <f t="shared" ref="H4:H7" si="0">(F4+G4)/E4</f>
        <v>0.9322172881971017</v>
      </c>
      <c r="I4" s="254">
        <f t="shared" ref="I4:I7" si="1">E4-(F4+G4)</f>
        <v>218364.03955439106</v>
      </c>
      <c r="J4" s="301" t="s">
        <v>1163</v>
      </c>
    </row>
    <row r="5" spans="4:10" ht="101.5" x14ac:dyDescent="0.35">
      <c r="D5" s="63" t="s">
        <v>1138</v>
      </c>
      <c r="E5" s="243">
        <f>'2022-2023 Budget'!J378</f>
        <v>1990655</v>
      </c>
      <c r="F5" s="243">
        <f>'2022-2023 Budget'!R378</f>
        <v>458851.17</v>
      </c>
      <c r="G5" s="243">
        <f>'2022-2023 Budget'!W378+'2022-2023 Budget'!X378+'2022-2023 Budget'!Y378+'2022-2023 Budget'!V378</f>
        <v>1466570.2850000001</v>
      </c>
      <c r="H5" s="244">
        <f t="shared" si="0"/>
        <v>0.96723011018986216</v>
      </c>
      <c r="I5" s="254">
        <f t="shared" si="1"/>
        <v>65233.544999999925</v>
      </c>
      <c r="J5" s="301" t="s">
        <v>1162</v>
      </c>
    </row>
    <row r="6" spans="4:10" ht="145" x14ac:dyDescent="0.35">
      <c r="D6" s="63" t="s">
        <v>1139</v>
      </c>
      <c r="E6" s="243">
        <f>'2022-2023 Budget'!J417</f>
        <v>1144407</v>
      </c>
      <c r="F6" s="243">
        <f>'2022-2023 Budget'!R417</f>
        <v>201678.49</v>
      </c>
      <c r="G6" s="243">
        <f>'2022-2023 Budget'!W417+'2022-2023 Budget'!X417+'2022-2023 Budget'!Y417+'2022-2023 Budget'!V417</f>
        <v>831555.83</v>
      </c>
      <c r="H6" s="244">
        <f t="shared" si="0"/>
        <v>0.90285564488857539</v>
      </c>
      <c r="I6" s="254">
        <f t="shared" si="1"/>
        <v>111172.68000000005</v>
      </c>
      <c r="J6" s="301" t="s">
        <v>1160</v>
      </c>
    </row>
    <row r="7" spans="4:10" ht="87" x14ac:dyDescent="0.35">
      <c r="D7" s="63" t="s">
        <v>1140</v>
      </c>
      <c r="E7" s="243">
        <f>'2022-2023 Budget'!J443</f>
        <v>1908270</v>
      </c>
      <c r="F7" s="243">
        <f>'2022-2023 Budget'!R443</f>
        <v>1502690.1300000004</v>
      </c>
      <c r="G7" s="243">
        <f>'2022-2023 Budget'!W443+'2022-2023 Budget'!X443+'2022-2023 Budget'!Y443+'2022-2023 Budget'!V443</f>
        <v>366143.13</v>
      </c>
      <c r="H7" s="244">
        <f t="shared" si="0"/>
        <v>0.97933377352261486</v>
      </c>
      <c r="I7" s="254">
        <f t="shared" si="1"/>
        <v>39436.739999999758</v>
      </c>
      <c r="J7" s="301" t="s">
        <v>1161</v>
      </c>
    </row>
    <row r="8" spans="4:10" x14ac:dyDescent="0.35">
      <c r="D8" s="63" t="s">
        <v>533</v>
      </c>
      <c r="E8" s="243">
        <f>SUM(E3:E7)</f>
        <v>18106904.999076001</v>
      </c>
      <c r="F8" s="243">
        <f t="shared" ref="F8:I8" si="2">SUM(F3:F7)</f>
        <v>7736764.0783136208</v>
      </c>
      <c r="G8" s="243">
        <f t="shared" si="2"/>
        <v>9741553.8900400009</v>
      </c>
      <c r="H8" s="63"/>
      <c r="I8" s="243">
        <f t="shared" si="2"/>
        <v>628587.03072238143</v>
      </c>
      <c r="J8" s="302"/>
    </row>
    <row r="12" spans="4:10" x14ac:dyDescent="0.35">
      <c r="D12" s="63" t="s">
        <v>1145</v>
      </c>
      <c r="E12" s="63" t="s">
        <v>1147</v>
      </c>
      <c r="F12" s="63" t="s">
        <v>1146</v>
      </c>
      <c r="G12" s="63" t="s">
        <v>1148</v>
      </c>
      <c r="H12" s="63" t="s">
        <v>1149</v>
      </c>
      <c r="I12" s="63" t="s">
        <v>1157</v>
      </c>
    </row>
    <row r="13" spans="4:10" x14ac:dyDescent="0.35">
      <c r="D13" s="63" t="s">
        <v>1136</v>
      </c>
      <c r="E13" s="255">
        <f>'2022-2023 Budget'!K215</f>
        <v>1323292</v>
      </c>
      <c r="F13" s="255"/>
      <c r="G13" s="63">
        <f>'[1]Budget Plan'!$O$188</f>
        <v>288238.570649095</v>
      </c>
      <c r="H13" s="63">
        <f>'[1]Budget Plan'!$W$188</f>
        <v>323688.37413941819</v>
      </c>
      <c r="I13" s="63">
        <f>'[1]Budget Plan'!$AE$188</f>
        <v>147538.07</v>
      </c>
    </row>
    <row r="14" spans="4:10" x14ac:dyDescent="0.35">
      <c r="D14" s="63" t="s">
        <v>1137</v>
      </c>
      <c r="E14" s="255">
        <f>'2022-2023 Budget'!K321</f>
        <v>251300</v>
      </c>
      <c r="F14" s="255"/>
      <c r="G14" s="63">
        <f>'[1]Budget Plan'!$O$284</f>
        <v>3493.5200000000004</v>
      </c>
      <c r="H14" s="63">
        <f>'[1]Budget Plan'!$W$284</f>
        <v>2361.37</v>
      </c>
      <c r="I14" s="63">
        <f>'[1]Budget Plan'!$AE$284</f>
        <v>-577.91999999999996</v>
      </c>
    </row>
    <row r="15" spans="4:10" x14ac:dyDescent="0.35">
      <c r="D15" s="63" t="s">
        <v>1138</v>
      </c>
      <c r="E15" s="255">
        <f>'2022-2023 Budget'!K378</f>
        <v>116400</v>
      </c>
      <c r="F15" s="255"/>
      <c r="G15" s="63">
        <f>'[1]Budget Plan'!$O$336</f>
        <v>10289.030000000001</v>
      </c>
      <c r="H15" s="63">
        <f>'[1]Budget Plan'!$W$336</f>
        <v>11379.779999999999</v>
      </c>
      <c r="I15" s="63">
        <f>'[1]Budget Plan'!$AE$336</f>
        <v>0</v>
      </c>
    </row>
    <row r="16" spans="4:10" x14ac:dyDescent="0.35">
      <c r="D16" s="63" t="s">
        <v>1139</v>
      </c>
      <c r="E16" s="255">
        <f>'2022-2023 Budget'!K417</f>
        <v>56000</v>
      </c>
      <c r="F16" s="255"/>
      <c r="G16" s="63">
        <f>'[1]Budget Plan'!$O$371</f>
        <v>0</v>
      </c>
      <c r="H16" s="63">
        <f>'[1]Budget Plan'!$W$371</f>
        <v>0</v>
      </c>
      <c r="I16" s="63">
        <f>'[1]Budget Plan'!$AE$371</f>
        <v>0</v>
      </c>
    </row>
    <row r="17" spans="4:10" x14ac:dyDescent="0.35">
      <c r="D17" s="63" t="s">
        <v>1140</v>
      </c>
      <c r="E17" s="63"/>
      <c r="F17" s="63">
        <f>'[1]Budget Plan'!$O$395</f>
        <v>5500</v>
      </c>
      <c r="G17" s="63"/>
      <c r="H17" s="63">
        <f>'[1]Budget Plan'!$W$395</f>
        <v>0</v>
      </c>
      <c r="I17" s="63">
        <f>'[1]Budget Plan'!$AE$395</f>
        <v>0</v>
      </c>
    </row>
    <row r="18" spans="4:10" x14ac:dyDescent="0.35">
      <c r="D18" s="63" t="s">
        <v>533</v>
      </c>
      <c r="E18" s="255">
        <f>SUM(E13:E17)</f>
        <v>1746992</v>
      </c>
      <c r="F18" s="255">
        <f t="shared" ref="F18:I18" si="3">SUM(F13:F17)</f>
        <v>5500</v>
      </c>
      <c r="G18" s="255">
        <f>SUM(G13:G17)</f>
        <v>302021.12064909504</v>
      </c>
      <c r="H18" s="255">
        <f t="shared" si="3"/>
        <v>337429.52413941815</v>
      </c>
      <c r="I18" s="255">
        <f t="shared" si="3"/>
        <v>146960.15</v>
      </c>
      <c r="J18" s="304"/>
    </row>
  </sheetData>
  <phoneticPr fontId="35" type="noConversion"/>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Five Year Budget</vt:lpstr>
      <vt:lpstr>2022-2023 Budget</vt:lpstr>
      <vt:lpstr>Component comparison</vt:lpstr>
      <vt:lpstr>Budget Notes</vt:lpstr>
      <vt:lpstr>Reallocation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King</dc:creator>
  <cp:lastModifiedBy>Salome Tukuafu</cp:lastModifiedBy>
  <cp:lastPrinted>2023-08-08T21:37:12Z</cp:lastPrinted>
  <dcterms:created xsi:type="dcterms:W3CDTF">2022-11-25T00:40:49Z</dcterms:created>
  <dcterms:modified xsi:type="dcterms:W3CDTF">2023-10-11T21:57:51Z</dcterms:modified>
</cp:coreProperties>
</file>